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60" windowHeight="8820" activeTab="0"/>
  </bookViews>
  <sheets>
    <sheet name="1600 only" sheetId="1" r:id="rId1"/>
    <sheet name="Pivot table Region" sheetId="2" r:id="rId2"/>
    <sheet name="Political Economy sorted" sheetId="3" r:id="rId3"/>
    <sheet name="Pivot Data" sheetId="4" r:id="rId4"/>
  </sheets>
  <definedNames>
    <definedName name="_xlnm._FilterDatabase" localSheetId="0" hidden="1">'1600 only'!$B$1:$B$191</definedName>
  </definedNames>
  <calcPr fullCalcOnLoad="1"/>
  <pivotCaches>
    <pivotCache cacheId="3" r:id="rId5"/>
  </pivotCaches>
</workbook>
</file>

<file path=xl/comments1.xml><?xml version="1.0" encoding="utf-8"?>
<comments xmlns="http://schemas.openxmlformats.org/spreadsheetml/2006/main">
  <authors>
    <author>DC-Gregory</author>
  </authors>
  <commentList>
    <comment ref="F18" authorId="0">
      <text>
        <r>
          <rPr>
            <b/>
            <sz val="9"/>
            <rFont val="Tahoma"/>
            <family val="2"/>
          </rPr>
          <t>DC-Gregory:</t>
        </r>
        <r>
          <rPr>
            <sz val="9"/>
            <rFont val="Tahoma"/>
            <family val="2"/>
          </rPr>
          <t xml:space="preserve">
4/5 of 4.5 ruled by the king</t>
        </r>
      </text>
    </comment>
    <comment ref="F26" authorId="0">
      <text>
        <r>
          <rPr>
            <b/>
            <sz val="9"/>
            <rFont val="Tahoma"/>
            <family val="2"/>
          </rPr>
          <t>DC-Gregory:</t>
        </r>
        <r>
          <rPr>
            <sz val="9"/>
            <rFont val="Tahoma"/>
            <family val="2"/>
          </rPr>
          <t xml:space="preserve">
Ming Empire only</t>
        </r>
      </text>
    </comment>
    <comment ref="F94" authorId="0">
      <text>
        <r>
          <rPr>
            <b/>
            <sz val="9"/>
            <rFont val="Tahoma"/>
            <family val="2"/>
          </rPr>
          <t>DC-Gregory:</t>
        </r>
        <r>
          <rPr>
            <sz val="9"/>
            <rFont val="Tahoma"/>
            <family val="2"/>
          </rPr>
          <t xml:space="preserve">
Atlas of pop: 22m
History of world gdp: 18.5m</t>
        </r>
      </text>
    </comment>
    <comment ref="F120" authorId="0">
      <text>
        <r>
          <rPr>
            <b/>
            <sz val="9"/>
            <rFont val="Tahoma"/>
            <family val="2"/>
          </rPr>
          <t>DC-Gregory:</t>
        </r>
        <r>
          <rPr>
            <sz val="9"/>
            <rFont val="Tahoma"/>
            <family val="2"/>
          </rPr>
          <t xml:space="preserve">
Map atlas: 27m</t>
        </r>
      </text>
    </comment>
    <comment ref="F121" authorId="0">
      <text>
        <r>
          <rPr>
            <b/>
            <sz val="9"/>
            <rFont val="Tahoma"/>
            <family val="2"/>
          </rPr>
          <t>DC-Gregory:</t>
        </r>
        <r>
          <rPr>
            <sz val="9"/>
            <rFont val="Tahoma"/>
            <family val="2"/>
          </rPr>
          <t xml:space="preserve">
included in Indai</t>
        </r>
      </text>
    </comment>
    <comment ref="F122" authorId="0">
      <text>
        <r>
          <rPr>
            <b/>
            <sz val="9"/>
            <rFont val="Tahoma"/>
            <family val="2"/>
          </rPr>
          <t>DC-Gregory:</t>
        </r>
        <r>
          <rPr>
            <sz val="9"/>
            <rFont val="Tahoma"/>
            <family val="2"/>
          </rPr>
          <t xml:space="preserve">
included in India</t>
        </r>
      </text>
    </comment>
    <comment ref="F127" authorId="0">
      <text>
        <r>
          <rPr>
            <b/>
            <sz val="9"/>
            <rFont val="Tahoma"/>
            <family val="2"/>
          </rPr>
          <t>DC-Gregory:</t>
        </r>
        <r>
          <rPr>
            <sz val="9"/>
            <rFont val="Tahoma"/>
            <family val="2"/>
          </rPr>
          <t xml:space="preserve">
wiki/List_of_countries_by_population_in_1600
for northern part of 0.8</t>
        </r>
      </text>
    </comment>
    <comment ref="D136" authorId="0">
      <text>
        <r>
          <rPr>
            <b/>
            <sz val="9"/>
            <rFont val="Tahoma"/>
            <family val="2"/>
          </rPr>
          <t>DC-Gregory:</t>
        </r>
        <r>
          <rPr>
            <sz val="9"/>
            <rFont val="Tahoma"/>
            <family val="2"/>
          </rPr>
          <t xml:space="preserve">
1700: 1163. * spain 1600/1700 change</t>
        </r>
      </text>
    </comment>
    <comment ref="F136" authorId="0">
      <text>
        <r>
          <rPr>
            <b/>
            <sz val="9"/>
            <rFont val="Tahoma"/>
            <family val="2"/>
          </rPr>
          <t>DC-Gregory:</t>
        </r>
        <r>
          <rPr>
            <sz val="9"/>
            <rFont val="Tahoma"/>
            <family val="2"/>
          </rPr>
          <t xml:space="preserve">
history atlas: 1.5
Atlas of pop: 2.0</t>
        </r>
      </text>
    </comment>
    <comment ref="D67" authorId="0">
      <text>
        <r>
          <rPr>
            <b/>
            <sz val="9"/>
            <rFont val="Tahoma"/>
            <family val="2"/>
          </rPr>
          <t>DC-Gregory:</t>
        </r>
        <r>
          <rPr>
            <sz val="9"/>
            <rFont val="Tahoma"/>
            <family val="2"/>
          </rPr>
          <t xml:space="preserve">
simiilar to India for se asia.</t>
        </r>
      </text>
    </comment>
    <comment ref="F98" authorId="0">
      <text>
        <r>
          <rPr>
            <b/>
            <sz val="9"/>
            <rFont val="Tahoma"/>
            <family val="2"/>
          </rPr>
          <t>DC-Gregory:</t>
        </r>
        <r>
          <rPr>
            <sz val="9"/>
            <rFont val="Tahoma"/>
            <family val="2"/>
          </rPr>
          <t xml:space="preserve">
pop 2m in 1902</t>
        </r>
      </text>
    </comment>
    <comment ref="F97" authorId="0">
      <text>
        <r>
          <rPr>
            <b/>
            <sz val="9"/>
            <rFont val="Tahoma"/>
            <family val="2"/>
          </rPr>
          <t>DC-Gregory:</t>
        </r>
        <r>
          <rPr>
            <sz val="9"/>
            <rFont val="Tahoma"/>
            <family val="2"/>
          </rPr>
          <t xml:space="preserve">
pop 2.5m in 1800 : wiki/Kazakh_Khanate</t>
        </r>
      </text>
    </comment>
    <comment ref="D18" authorId="0">
      <text>
        <r>
          <rPr>
            <b/>
            <sz val="9"/>
            <rFont val="Tahoma"/>
            <family val="2"/>
          </rPr>
          <t>DC-Gregory:</t>
        </r>
        <r>
          <rPr>
            <sz val="9"/>
            <rFont val="Tahoma"/>
            <family val="2"/>
          </rPr>
          <t xml:space="preserve">
similar to india for se asia</t>
        </r>
      </text>
    </comment>
    <comment ref="D19" authorId="0">
      <text>
        <r>
          <rPr>
            <b/>
            <sz val="9"/>
            <rFont val="Tahoma"/>
            <family val="2"/>
          </rPr>
          <t>DC-Gregory:</t>
        </r>
        <r>
          <rPr>
            <sz val="9"/>
            <rFont val="Tahoma"/>
            <family val="2"/>
          </rPr>
          <t xml:space="preserve">
similar to india for se asia</t>
        </r>
      </text>
    </comment>
    <comment ref="D108" authorId="0">
      <text>
        <r>
          <rPr>
            <b/>
            <sz val="9"/>
            <rFont val="Tahoma"/>
            <family val="2"/>
          </rPr>
          <t>DC-Gregory:</t>
        </r>
        <r>
          <rPr>
            <sz val="9"/>
            <rFont val="Tahoma"/>
            <family val="2"/>
          </rPr>
          <t xml:space="preserve">
similar to india for se asia</t>
        </r>
      </text>
    </comment>
    <comment ref="D155" authorId="0">
      <text>
        <r>
          <rPr>
            <b/>
            <sz val="9"/>
            <rFont val="Tahoma"/>
            <family val="2"/>
          </rPr>
          <t>DC-Gregory:</t>
        </r>
        <r>
          <rPr>
            <sz val="9"/>
            <rFont val="Tahoma"/>
            <family val="2"/>
          </rPr>
          <t xml:space="preserve">
similar to india for se asia</t>
        </r>
      </text>
    </comment>
    <comment ref="D115" authorId="0">
      <text>
        <r>
          <rPr>
            <b/>
            <sz val="9"/>
            <rFont val="Tahoma"/>
            <family val="2"/>
          </rPr>
          <t>DC-Gregory:</t>
        </r>
        <r>
          <rPr>
            <sz val="9"/>
            <rFont val="Tahoma"/>
            <family val="2"/>
          </rPr>
          <t xml:space="preserve">
simiilar to India for se asia.</t>
        </r>
      </text>
    </comment>
    <comment ref="F126" authorId="0">
      <text>
        <r>
          <rPr>
            <b/>
            <sz val="9"/>
            <rFont val="Tahoma"/>
            <family val="2"/>
          </rPr>
          <t xml:space="preserve">DC-Gregory: </t>
        </r>
        <r>
          <rPr>
            <sz val="9"/>
            <rFont val="Tahoma"/>
            <family val="2"/>
          </rPr>
          <t>wiki/List_of_countries_by_population_in_1600: 4.69m
4 from totals of Atlas of world pop history.</t>
        </r>
      </text>
    </comment>
    <comment ref="D127" authorId="0">
      <text>
        <r>
          <rPr>
            <b/>
            <sz val="9"/>
            <rFont val="Tahoma"/>
            <family val="2"/>
          </rPr>
          <t>DC-Gregory:</t>
        </r>
        <r>
          <rPr>
            <sz val="9"/>
            <rFont val="Tahoma"/>
            <family val="2"/>
          </rPr>
          <t xml:space="preserve">
simiilar to India for se asia.</t>
        </r>
      </text>
    </comment>
    <comment ref="F129" authorId="0">
      <text>
        <r>
          <rPr>
            <b/>
            <sz val="9"/>
            <rFont val="Tahoma"/>
            <family val="2"/>
          </rPr>
          <t>DC-Gregory:</t>
        </r>
        <r>
          <rPr>
            <sz val="9"/>
            <rFont val="Tahoma"/>
            <family val="2"/>
          </rPr>
          <t xml:space="preserve">
Atlas of pop hist: 9.5m
wiki/List_of_countries_by_population_in_1600: 7.95m</t>
        </r>
      </text>
    </comment>
    <comment ref="K115" authorId="0">
      <text>
        <r>
          <rPr>
            <b/>
            <sz val="9"/>
            <rFont val="Tahoma"/>
            <family val="2"/>
          </rPr>
          <t>DC-Gregory:</t>
        </r>
        <r>
          <rPr>
            <sz val="9"/>
            <rFont val="Tahoma"/>
            <family val="2"/>
          </rPr>
          <t xml:space="preserve">
http://www.populstat.info</t>
        </r>
      </text>
    </comment>
    <comment ref="F139" authorId="0">
      <text>
        <r>
          <rPr>
            <b/>
            <sz val="9"/>
            <rFont val="Tahoma"/>
            <family val="2"/>
          </rPr>
          <t>DC-Gregory:</t>
        </r>
        <r>
          <rPr>
            <sz val="9"/>
            <rFont val="Tahoma"/>
            <family val="2"/>
          </rPr>
          <t xml:space="preserve">
Atlas of modern history p37:1m
wiki .995 in 1660 
x 2/2.25= .85</t>
        </r>
      </text>
    </comment>
    <comment ref="F141" authorId="0">
      <text>
        <r>
          <rPr>
            <b/>
            <sz val="9"/>
            <rFont val="Tahoma"/>
            <family val="2"/>
          </rPr>
          <t>DC-Gregory:</t>
        </r>
        <r>
          <rPr>
            <sz val="9"/>
            <rFont val="Tahoma"/>
            <family val="2"/>
          </rPr>
          <t xml:space="preserve">
14.0:wiki/List_of_countries_by_population_in_1600 
10m: Atlas of world pop</t>
        </r>
      </text>
    </comment>
    <comment ref="F143" authorId="0">
      <text>
        <r>
          <rPr>
            <sz val="9"/>
            <rFont val="Tahoma"/>
            <family val="2"/>
          </rPr>
          <t>DC-Gregory: 2.1 m in 1820
Coastal part of which was in the Ottoman Emp. Perhaps 0.5m in interior.</t>
        </r>
      </text>
    </comment>
    <comment ref="F165" authorId="0">
      <text>
        <r>
          <rPr>
            <b/>
            <sz val="9"/>
            <rFont val="Tahoma"/>
            <family val="2"/>
          </rPr>
          <t>DC-Gregory:</t>
        </r>
        <r>
          <rPr>
            <sz val="9"/>
            <rFont val="Tahoma"/>
            <family val="2"/>
          </rPr>
          <t xml:space="preserve">
Atas of world pop: .7m
wiki/List_of_countries_by_population_in_1600: .8m</t>
        </r>
      </text>
    </comment>
    <comment ref="F147" authorId="0">
      <text>
        <r>
          <rPr>
            <b/>
            <sz val="9"/>
            <rFont val="Tahoma"/>
            <family val="2"/>
          </rPr>
          <t>DC-Gregory:</t>
        </r>
        <r>
          <rPr>
            <sz val="9"/>
            <rFont val="Tahoma"/>
            <family val="2"/>
          </rPr>
          <t xml:space="preserve">
Approx half under direct Portugese rule.</t>
        </r>
      </text>
    </comment>
    <comment ref="D147" authorId="0">
      <text>
        <r>
          <rPr>
            <b/>
            <sz val="9"/>
            <rFont val="Tahoma"/>
            <family val="2"/>
          </rPr>
          <t>DC-Gregory:</t>
        </r>
        <r>
          <rPr>
            <sz val="9"/>
            <rFont val="Tahoma"/>
            <family val="2"/>
          </rPr>
          <t xml:space="preserve">
similar to india for se asia</t>
        </r>
      </text>
    </comment>
    <comment ref="D148" authorId="0">
      <text>
        <r>
          <rPr>
            <b/>
            <sz val="9"/>
            <rFont val="Tahoma"/>
            <family val="2"/>
          </rPr>
          <t>DC-Gregory:</t>
        </r>
        <r>
          <rPr>
            <sz val="9"/>
            <rFont val="Tahoma"/>
            <family val="2"/>
          </rPr>
          <t xml:space="preserve">
similar to india for se asia</t>
        </r>
      </text>
    </comment>
    <comment ref="F148" authorId="0">
      <text>
        <r>
          <rPr>
            <b/>
            <sz val="9"/>
            <rFont val="Tahoma"/>
            <family val="2"/>
          </rPr>
          <t>DC-Gregory:</t>
        </r>
        <r>
          <rPr>
            <sz val="9"/>
            <rFont val="Tahoma"/>
            <family val="2"/>
          </rPr>
          <t xml:space="preserve">
Approx half under K. Of Kandy rule.</t>
        </r>
      </text>
    </comment>
    <comment ref="F151" authorId="0">
      <text>
        <r>
          <rPr>
            <b/>
            <sz val="9"/>
            <rFont val="Tahoma"/>
            <family val="2"/>
          </rPr>
          <t>DC-Gregory:</t>
        </r>
        <r>
          <rPr>
            <sz val="9"/>
            <rFont val="Tahoma"/>
            <family val="2"/>
          </rPr>
          <t xml:space="preserve">
0.2m in Denmark</t>
        </r>
      </text>
    </comment>
    <comment ref="F35" authorId="0">
      <text>
        <r>
          <rPr>
            <b/>
            <sz val="9"/>
            <rFont val="Tahoma"/>
            <family val="2"/>
          </rPr>
          <t>DC-Gregory:</t>
        </r>
        <r>
          <rPr>
            <sz val="9"/>
            <rFont val="Tahoma"/>
            <family val="2"/>
          </rPr>
          <t xml:space="preserve">
plus 0.2m from Sweden</t>
        </r>
      </text>
    </comment>
    <comment ref="F41" authorId="0">
      <text>
        <r>
          <rPr>
            <b/>
            <sz val="9"/>
            <rFont val="Tahoma"/>
            <family val="2"/>
          </rPr>
          <t>DC-Gregory:</t>
        </r>
        <r>
          <rPr>
            <sz val="9"/>
            <rFont val="Tahoma"/>
            <family val="2"/>
          </rPr>
          <t xml:space="preserve">
http://www.populstat.info: 0.26m for 1550</t>
        </r>
      </text>
    </comment>
    <comment ref="F164" authorId="0">
      <text>
        <r>
          <rPr>
            <b/>
            <sz val="9"/>
            <rFont val="Tahoma"/>
            <family val="2"/>
          </rPr>
          <t xml:space="preserve">DC-Gregory: </t>
        </r>
        <r>
          <rPr>
            <sz val="9"/>
            <rFont val="Tahoma"/>
            <family val="2"/>
          </rPr>
          <t>Atas of world pop: 4.25 m
wiki/List_of_countries_by_population_in_1600: 4.4m</t>
        </r>
      </text>
    </comment>
    <comment ref="D168" authorId="0">
      <text>
        <r>
          <rPr>
            <b/>
            <sz val="9"/>
            <rFont val="Tahoma"/>
            <family val="2"/>
          </rPr>
          <t>DC-Gregory:</t>
        </r>
        <r>
          <rPr>
            <sz val="9"/>
            <rFont val="Tahoma"/>
            <family val="2"/>
          </rPr>
          <t xml:space="preserve">
simiilar to India for se asia.</t>
        </r>
      </text>
    </comment>
    <comment ref="F168" authorId="0">
      <text>
        <r>
          <rPr>
            <b/>
            <sz val="9"/>
            <rFont val="Tahoma"/>
            <family val="2"/>
          </rPr>
          <t>DC-Gregory:</t>
        </r>
        <r>
          <rPr>
            <sz val="9"/>
            <rFont val="Tahoma"/>
            <family val="2"/>
          </rPr>
          <t xml:space="preserve">
excludes southern part.
Altas of world pop: 2m less 0.5</t>
        </r>
      </text>
    </comment>
    <comment ref="D28" authorId="0">
      <text>
        <r>
          <rPr>
            <b/>
            <sz val="9"/>
            <rFont val="Tahoma"/>
            <family val="2"/>
          </rPr>
          <t>DC-Gregory:</t>
        </r>
        <r>
          <rPr>
            <sz val="9"/>
            <rFont val="Tahoma"/>
            <family val="2"/>
          </rPr>
          <t xml:space="preserve">
similar to india for se asia</t>
        </r>
      </text>
    </comment>
    <comment ref="D3" authorId="0">
      <text>
        <r>
          <rPr>
            <b/>
            <sz val="9"/>
            <rFont val="Tahoma"/>
            <family val="2"/>
          </rPr>
          <t>DC-Gregory:</t>
        </r>
        <r>
          <rPr>
            <sz val="9"/>
            <rFont val="Tahoma"/>
            <family val="2"/>
          </rPr>
          <t xml:space="preserve">
similar to india for se asia</t>
        </r>
      </text>
    </comment>
    <comment ref="F174" authorId="0">
      <text>
        <r>
          <rPr>
            <b/>
            <sz val="9"/>
            <rFont val="Tahoma"/>
            <family val="0"/>
          </rPr>
          <t>DC-Gregory:</t>
        </r>
        <r>
          <rPr>
            <sz val="9"/>
            <rFont val="Tahoma"/>
            <family val="0"/>
          </rPr>
          <t xml:space="preserve">
most was in Ottoman rule</t>
        </r>
      </text>
    </comment>
    <comment ref="F113" authorId="0">
      <text>
        <r>
          <rPr>
            <b/>
            <sz val="9"/>
            <rFont val="Tahoma"/>
            <family val="0"/>
          </rPr>
          <t>DC-Gregory:</t>
        </r>
        <r>
          <rPr>
            <sz val="9"/>
            <rFont val="Tahoma"/>
            <family val="0"/>
          </rPr>
          <t xml:space="preserve">
Atlas of pop: 3.5m Sehel
x portion in Mali in 1900
1/4 in north part.</t>
        </r>
      </text>
    </comment>
    <comment ref="F43" authorId="0">
      <text>
        <r>
          <rPr>
            <b/>
            <sz val="9"/>
            <rFont val="Tahoma"/>
            <family val="0"/>
          </rPr>
          <t>DC-Gregory:</t>
        </r>
        <r>
          <rPr>
            <sz val="9"/>
            <rFont val="Tahoma"/>
            <family val="0"/>
          </rPr>
          <t xml:space="preserve">
Altas of world pop: Eritrea is 0.1 of Ethiopia 2.25</t>
        </r>
      </text>
    </comment>
    <comment ref="F23" authorId="0">
      <text>
        <r>
          <rPr>
            <b/>
            <sz val="9"/>
            <rFont val="Tahoma"/>
            <family val="0"/>
          </rPr>
          <t>DC-Gregory:</t>
        </r>
        <r>
          <rPr>
            <sz val="9"/>
            <rFont val="Tahoma"/>
            <family val="0"/>
          </rPr>
          <t xml:space="preserve">
Atlas of world pop: 3.5m Sahel x 1/2 portion in Chad in 1900 + simiilar part in Niger</t>
        </r>
      </text>
    </comment>
    <comment ref="F24" authorId="0">
      <text>
        <r>
          <rPr>
            <b/>
            <sz val="9"/>
            <rFont val="Tahoma"/>
            <family val="0"/>
          </rPr>
          <t>DC-Gregory:</t>
        </r>
        <r>
          <rPr>
            <sz val="9"/>
            <rFont val="Tahoma"/>
            <family val="0"/>
          </rPr>
          <t xml:space="preserve">
Bornu state is 1.118/19.928 of nigeria poplulstat.info
x nigeria share of w africa atla of world pop.</t>
        </r>
      </text>
    </comment>
    <comment ref="F117" authorId="0">
      <text>
        <r>
          <rPr>
            <b/>
            <sz val="9"/>
            <rFont val="Tahoma"/>
            <family val="0"/>
          </rPr>
          <t xml:space="preserve">DC-Gregory: </t>
        </r>
        <r>
          <rPr>
            <sz val="9"/>
            <rFont val="Tahoma"/>
            <family val="0"/>
          </rPr>
          <t xml:space="preserve">
Benin+Delta+Ondo+Lagos part of nigeria poplulstat.info
x nigeria share of w africa atla of world pop.</t>
        </r>
      </text>
    </comment>
    <comment ref="D29" authorId="0">
      <text>
        <r>
          <rPr>
            <b/>
            <sz val="9"/>
            <rFont val="Tahoma"/>
            <family val="0"/>
          </rPr>
          <t>DC-Gregory:</t>
        </r>
        <r>
          <rPr>
            <sz val="9"/>
            <rFont val="Tahoma"/>
            <family val="0"/>
          </rPr>
          <t xml:space="preserve">
</t>
        </r>
      </text>
    </comment>
    <comment ref="F29" authorId="0">
      <text>
        <r>
          <rPr>
            <b/>
            <sz val="9"/>
            <rFont val="Tahoma"/>
            <family val="0"/>
          </rPr>
          <t>DC-Gregory:</t>
        </r>
        <r>
          <rPr>
            <sz val="9"/>
            <rFont val="Tahoma"/>
            <family val="0"/>
          </rPr>
          <t xml:space="preserve">
Congo pop is =8/15*8.5 Atas of world pop. Lunda was half of Katanga prov.
Populstat.info</t>
        </r>
      </text>
    </comment>
    <comment ref="D7" authorId="0">
      <text>
        <r>
          <rPr>
            <b/>
            <sz val="9"/>
            <rFont val="Tahoma"/>
            <family val="0"/>
          </rPr>
          <t>DC-Gregory:</t>
        </r>
        <r>
          <rPr>
            <sz val="9"/>
            <rFont val="Tahoma"/>
            <family val="0"/>
          </rPr>
          <t xml:space="preserve">
similar to morroco for Africa</t>
        </r>
      </text>
    </comment>
    <comment ref="F7" authorId="0">
      <text>
        <r>
          <rPr>
            <b/>
            <sz val="9"/>
            <rFont val="Tahoma"/>
            <family val="0"/>
          </rPr>
          <t>DC-Gregory:</t>
        </r>
        <r>
          <rPr>
            <sz val="9"/>
            <rFont val="Tahoma"/>
            <family val="0"/>
          </rPr>
          <t xml:space="preserve">
Angola pop is =3/15*8.5 Atlas of world pop. Kongo was in 3 ne states.= 0.2m =3/15*8.5*(0.55/4.6)
Populstat.info</t>
        </r>
      </text>
    </comment>
    <comment ref="F109" authorId="0">
      <text>
        <r>
          <rPr>
            <b/>
            <sz val="9"/>
            <rFont val="Tahoma"/>
            <family val="0"/>
          </rPr>
          <t>DC-Gregory:</t>
        </r>
        <r>
          <rPr>
            <sz val="9"/>
            <rFont val="Tahoma"/>
            <family val="0"/>
          </rPr>
          <t xml:space="preserve">
Malawi .3 of .44
Mozambique: half Teta state of 1.25
Zambia: Eastern state of .44 </t>
        </r>
      </text>
    </comment>
    <comment ref="F114" authorId="0">
      <text>
        <r>
          <rPr>
            <b/>
            <sz val="9"/>
            <rFont val="Tahoma"/>
            <family val="0"/>
          </rPr>
          <t>DC-Gregory:</t>
        </r>
        <r>
          <rPr>
            <sz val="9"/>
            <rFont val="Tahoma"/>
            <family val="0"/>
          </rPr>
          <t xml:space="preserve">
Sofala + Half Zambézia + half Teta of Mazambique 1.25m Atlas of world pop history</t>
        </r>
      </text>
    </comment>
    <comment ref="F8" authorId="0">
      <text>
        <r>
          <rPr>
            <b/>
            <sz val="9"/>
            <rFont val="Tahoma"/>
            <family val="0"/>
          </rPr>
          <t>DC-Gregory:</t>
        </r>
        <r>
          <rPr>
            <sz val="9"/>
            <rFont val="Tahoma"/>
            <family val="0"/>
          </rPr>
          <t xml:space="preserve">
Angola pop is =3/15*8.5 Atas of world pop. Port. Angola was in Luanga
Populstat.info</t>
        </r>
      </text>
    </comment>
    <comment ref="F19" authorId="0">
      <text>
        <r>
          <rPr>
            <b/>
            <sz val="9"/>
            <rFont val="Tahoma"/>
            <family val="0"/>
          </rPr>
          <t>DC-Gregory:</t>
        </r>
        <r>
          <rPr>
            <sz val="9"/>
            <rFont val="Tahoma"/>
            <family val="0"/>
          </rPr>
          <t xml:space="preserve">
Rakhine state of Burma + Chittagong district of Banglasesh</t>
        </r>
      </text>
    </comment>
    <comment ref="D156" authorId="0">
      <text>
        <r>
          <rPr>
            <b/>
            <sz val="9"/>
            <rFont val="Tahoma"/>
            <family val="2"/>
          </rPr>
          <t>DC-Gregory:</t>
        </r>
        <r>
          <rPr>
            <sz val="9"/>
            <rFont val="Tahoma"/>
            <family val="2"/>
          </rPr>
          <t xml:space="preserve">
similar to india for se asia</t>
        </r>
      </text>
    </comment>
    <comment ref="D20" authorId="0">
      <text>
        <r>
          <rPr>
            <b/>
            <sz val="9"/>
            <rFont val="Tahoma"/>
            <family val="2"/>
          </rPr>
          <t>DC-Gregory:</t>
        </r>
        <r>
          <rPr>
            <sz val="9"/>
            <rFont val="Tahoma"/>
            <family val="2"/>
          </rPr>
          <t xml:space="preserve">
similar to india for se asia</t>
        </r>
      </text>
    </comment>
    <comment ref="F156" authorId="0">
      <text>
        <r>
          <rPr>
            <b/>
            <sz val="9"/>
            <rFont val="Tahoma"/>
            <family val="0"/>
          </rPr>
          <t>DC-Gregory:</t>
        </r>
        <r>
          <rPr>
            <sz val="9"/>
            <rFont val="Tahoma"/>
            <family val="0"/>
          </rPr>
          <t xml:space="preserve">
most of northern region of Thailand</t>
        </r>
      </text>
    </comment>
    <comment ref="E3" authorId="0">
      <text>
        <r>
          <rPr>
            <b/>
            <sz val="9"/>
            <rFont val="Tahoma"/>
            <family val="0"/>
          </rPr>
          <t>DC-Gregory:</t>
        </r>
        <r>
          <rPr>
            <sz val="9"/>
            <rFont val="Tahoma"/>
            <family val="0"/>
          </rPr>
          <t xml:space="preserve">
from 1800 * pakistan 1600/1800 change</t>
        </r>
      </text>
    </comment>
    <comment ref="E5" authorId="0">
      <text>
        <r>
          <rPr>
            <b/>
            <sz val="9"/>
            <rFont val="Tahoma"/>
            <family val="0"/>
          </rPr>
          <t>DC-Gregory:</t>
        </r>
        <r>
          <rPr>
            <sz val="9"/>
            <rFont val="Tahoma"/>
            <family val="0"/>
          </rPr>
          <t xml:space="preserve">
from 1800 * greece 1600/1800 change</t>
        </r>
      </text>
    </comment>
    <comment ref="E6" authorId="0">
      <text>
        <r>
          <rPr>
            <b/>
            <sz val="9"/>
            <rFont val="Tahoma"/>
            <family val="0"/>
          </rPr>
          <t>DC-Gregory:</t>
        </r>
        <r>
          <rPr>
            <sz val="9"/>
            <rFont val="Tahoma"/>
            <family val="0"/>
          </rPr>
          <t xml:space="preserve">
use 1800 with no change for Africa</t>
        </r>
      </text>
    </comment>
    <comment ref="E7" authorId="0">
      <text>
        <r>
          <rPr>
            <b/>
            <sz val="9"/>
            <rFont val="Tahoma"/>
            <family val="0"/>
          </rPr>
          <t>DC-Gregory:</t>
        </r>
        <r>
          <rPr>
            <sz val="9"/>
            <rFont val="Tahoma"/>
            <family val="0"/>
          </rPr>
          <t xml:space="preserve">
use 1800 with no change for Africa</t>
        </r>
      </text>
    </comment>
    <comment ref="E8" authorId="0">
      <text>
        <r>
          <rPr>
            <b/>
            <sz val="9"/>
            <rFont val="Tahoma"/>
            <family val="0"/>
          </rPr>
          <t>DC-Gregory:</t>
        </r>
        <r>
          <rPr>
            <sz val="9"/>
            <rFont val="Tahoma"/>
            <family val="0"/>
          </rPr>
          <t xml:space="preserve">
use 1800 with no change for Africa</t>
        </r>
      </text>
    </comment>
    <comment ref="E9" authorId="0">
      <text>
        <r>
          <rPr>
            <b/>
            <sz val="9"/>
            <rFont val="Tahoma"/>
            <family val="0"/>
          </rPr>
          <t>DC-Gregory:</t>
        </r>
        <r>
          <rPr>
            <sz val="9"/>
            <rFont val="Tahoma"/>
            <family val="0"/>
          </rPr>
          <t xml:space="preserve">
from 1800 * turkey 1600/1800 horiz file change</t>
        </r>
      </text>
    </comment>
    <comment ref="E12" authorId="0">
      <text>
        <r>
          <rPr>
            <b/>
            <sz val="9"/>
            <rFont val="Tahoma"/>
            <family val="0"/>
          </rPr>
          <t>DC-Gregory:</t>
        </r>
        <r>
          <rPr>
            <sz val="9"/>
            <rFont val="Tahoma"/>
            <family val="0"/>
          </rPr>
          <t xml:space="preserve">
from 1800 * russian empire 1600/1800 change in horiz file</t>
        </r>
      </text>
    </comment>
    <comment ref="E19" authorId="0">
      <text>
        <r>
          <rPr>
            <b/>
            <sz val="9"/>
            <rFont val="Tahoma"/>
            <family val="0"/>
          </rPr>
          <t>DC-Gregory:</t>
        </r>
        <r>
          <rPr>
            <sz val="9"/>
            <rFont val="Tahoma"/>
            <family val="0"/>
          </rPr>
          <t xml:space="preserve">
Average of Bangladesh &amp; Burma/Myanmar values</t>
        </r>
      </text>
    </comment>
    <comment ref="E18" authorId="0">
      <text>
        <r>
          <rPr>
            <b/>
            <sz val="9"/>
            <rFont val="Tahoma"/>
            <family val="0"/>
          </rPr>
          <t>DC-Gregory:</t>
        </r>
        <r>
          <rPr>
            <sz val="9"/>
            <rFont val="Tahoma"/>
            <family val="0"/>
          </rPr>
          <t xml:space="preserve">
from 1800 * India 1600/1800 change</t>
        </r>
      </text>
    </comment>
    <comment ref="E13" authorId="0">
      <text>
        <r>
          <rPr>
            <b/>
            <sz val="9"/>
            <rFont val="Tahoma"/>
            <family val="0"/>
          </rPr>
          <t>DC-Gregory:</t>
        </r>
        <r>
          <rPr>
            <sz val="9"/>
            <rFont val="Tahoma"/>
            <family val="0"/>
          </rPr>
          <t xml:space="preserve">
from 1800 * latin america 1600/1800 change in horiz file</t>
        </r>
      </text>
    </comment>
    <comment ref="E32" authorId="0">
      <text>
        <r>
          <rPr>
            <b/>
            <sz val="9"/>
            <rFont val="Tahoma"/>
            <family val="0"/>
          </rPr>
          <t>DC-Gregory:</t>
        </r>
        <r>
          <rPr>
            <sz val="9"/>
            <rFont val="Tahoma"/>
            <family val="0"/>
          </rPr>
          <t xml:space="preserve">
from 1800 * latin america 1600/1800 change in horiz file</t>
        </r>
      </text>
    </comment>
    <comment ref="E16" authorId="0">
      <text>
        <r>
          <rPr>
            <b/>
            <sz val="9"/>
            <rFont val="Tahoma"/>
            <family val="0"/>
          </rPr>
          <t>DC-Gregory:</t>
        </r>
        <r>
          <rPr>
            <sz val="9"/>
            <rFont val="Tahoma"/>
            <family val="0"/>
          </rPr>
          <t xml:space="preserve">
from 1800 *brazil 1600/1800 change in horiz file</t>
        </r>
      </text>
    </comment>
    <comment ref="E17" authorId="0">
      <text>
        <r>
          <rPr>
            <b/>
            <sz val="9"/>
            <rFont val="Tahoma"/>
            <family val="0"/>
          </rPr>
          <t>DC-Gregory:</t>
        </r>
        <r>
          <rPr>
            <sz val="9"/>
            <rFont val="Tahoma"/>
            <family val="0"/>
          </rPr>
          <t xml:space="preserve">
from 1800 * east europe 1600/1800 change in horiz file</t>
        </r>
      </text>
    </comment>
    <comment ref="E20" authorId="0">
      <text>
        <r>
          <rPr>
            <b/>
            <sz val="9"/>
            <rFont val="Tahoma"/>
            <family val="0"/>
          </rPr>
          <t>DC-Gregory:</t>
        </r>
        <r>
          <rPr>
            <sz val="9"/>
            <rFont val="Tahoma"/>
            <family val="0"/>
          </rPr>
          <t xml:space="preserve">
from 1800</t>
        </r>
      </text>
    </comment>
    <comment ref="E23" authorId="0">
      <text>
        <r>
          <rPr>
            <b/>
            <sz val="9"/>
            <rFont val="Tahoma"/>
            <family val="0"/>
          </rPr>
          <t>DC-Gregory:</t>
        </r>
        <r>
          <rPr>
            <sz val="9"/>
            <rFont val="Tahoma"/>
            <family val="0"/>
          </rPr>
          <t xml:space="preserve">
from 1800</t>
        </r>
      </text>
    </comment>
    <comment ref="E25" authorId="0">
      <text>
        <r>
          <rPr>
            <b/>
            <sz val="9"/>
            <rFont val="Tahoma"/>
            <family val="0"/>
          </rPr>
          <t>DC-Gregory:</t>
        </r>
        <r>
          <rPr>
            <sz val="9"/>
            <rFont val="Tahoma"/>
            <family val="0"/>
          </rPr>
          <t xml:space="preserve">
from 1800 * latin america 1600/1800 change in horiz file</t>
        </r>
      </text>
    </comment>
    <comment ref="E24" authorId="0">
      <text>
        <r>
          <rPr>
            <b/>
            <sz val="9"/>
            <rFont val="Tahoma"/>
            <family val="0"/>
          </rPr>
          <t>DC-Gregory:</t>
        </r>
        <r>
          <rPr>
            <sz val="9"/>
            <rFont val="Tahoma"/>
            <family val="0"/>
          </rPr>
          <t xml:space="preserve">
from 1800</t>
        </r>
      </text>
    </comment>
    <comment ref="E29" authorId="0">
      <text>
        <r>
          <rPr>
            <b/>
            <sz val="9"/>
            <rFont val="Tahoma"/>
            <family val="0"/>
          </rPr>
          <t>DC-Gregory:</t>
        </r>
        <r>
          <rPr>
            <sz val="9"/>
            <rFont val="Tahoma"/>
            <family val="0"/>
          </rPr>
          <t xml:space="preserve">
from 1800</t>
        </r>
      </text>
    </comment>
    <comment ref="E30" authorId="0">
      <text>
        <r>
          <rPr>
            <b/>
            <sz val="9"/>
            <rFont val="Tahoma"/>
            <family val="0"/>
          </rPr>
          <t>DC-Gregory:</t>
        </r>
        <r>
          <rPr>
            <sz val="9"/>
            <rFont val="Tahoma"/>
            <family val="0"/>
          </rPr>
          <t xml:space="preserve">
from 1800 * latin america 1600/1800 change in horiz file</t>
        </r>
      </text>
    </comment>
    <comment ref="E31" authorId="0">
      <text>
        <r>
          <rPr>
            <b/>
            <sz val="9"/>
            <rFont val="Tahoma"/>
            <family val="0"/>
          </rPr>
          <t>DC-Gregory:</t>
        </r>
        <r>
          <rPr>
            <sz val="9"/>
            <rFont val="Tahoma"/>
            <family val="0"/>
          </rPr>
          <t xml:space="preserve">
from 1800 * latin america 1600/1800 change in horiz file</t>
        </r>
      </text>
    </comment>
    <comment ref="E33" authorId="0">
      <text>
        <r>
          <rPr>
            <b/>
            <sz val="9"/>
            <rFont val="Tahoma"/>
            <family val="0"/>
          </rPr>
          <t>DC-Gregory:</t>
        </r>
        <r>
          <rPr>
            <sz val="9"/>
            <rFont val="Tahoma"/>
            <family val="0"/>
          </rPr>
          <t xml:space="preserve">
from 1800 * turkey 1600/1800 change in horiz file</t>
        </r>
      </text>
    </comment>
    <comment ref="E34" authorId="0">
      <text>
        <r>
          <rPr>
            <b/>
            <sz val="9"/>
            <rFont val="Tahoma"/>
            <family val="0"/>
          </rPr>
          <t>DC-Gregory:</t>
        </r>
        <r>
          <rPr>
            <sz val="9"/>
            <rFont val="Tahoma"/>
            <family val="0"/>
          </rPr>
          <t xml:space="preserve">
from 1800 average of czech &amp; slovak rep * east europe 1600/1800 change in horiz file</t>
        </r>
      </text>
    </comment>
    <comment ref="E37" authorId="0">
      <text>
        <r>
          <rPr>
            <b/>
            <sz val="9"/>
            <rFont val="Tahoma"/>
            <family val="0"/>
          </rPr>
          <t>DC-Gregory:</t>
        </r>
        <r>
          <rPr>
            <sz val="9"/>
            <rFont val="Tahoma"/>
            <family val="0"/>
          </rPr>
          <t xml:space="preserve">
from 1800 * latin america 1600/1800 change in horiz file</t>
        </r>
      </text>
    </comment>
    <comment ref="E38" authorId="0">
      <text>
        <r>
          <rPr>
            <b/>
            <sz val="9"/>
            <rFont val="Tahoma"/>
            <family val="0"/>
          </rPr>
          <t>DC-Gregory:</t>
        </r>
        <r>
          <rPr>
            <sz val="9"/>
            <rFont val="Tahoma"/>
            <family val="0"/>
          </rPr>
          <t xml:space="preserve">
from 1800 * latin america 1600/1800 change in horiz file</t>
        </r>
      </text>
    </comment>
    <comment ref="E35" authorId="0">
      <text>
        <r>
          <rPr>
            <b/>
            <sz val="9"/>
            <rFont val="Tahoma"/>
            <family val="0"/>
          </rPr>
          <t>DC-Gregory:</t>
        </r>
        <r>
          <rPr>
            <sz val="9"/>
            <rFont val="Tahoma"/>
            <family val="0"/>
          </rPr>
          <t xml:space="preserve">
from 1800 * denmark 1600/1800 change in horiz file</t>
        </r>
      </text>
    </comment>
    <comment ref="E15" authorId="0">
      <text>
        <r>
          <rPr>
            <b/>
            <sz val="9"/>
            <rFont val="Tahoma"/>
            <family val="0"/>
          </rPr>
          <t>DC-Gregory:</t>
        </r>
        <r>
          <rPr>
            <sz val="9"/>
            <rFont val="Tahoma"/>
            <family val="0"/>
          </rPr>
          <t xml:space="preserve">
from 1800 *latin america 1600/1800 change in horiz file</t>
        </r>
      </text>
    </comment>
    <comment ref="E39" authorId="0">
      <text>
        <r>
          <rPr>
            <b/>
            <sz val="9"/>
            <rFont val="Tahoma"/>
            <family val="0"/>
          </rPr>
          <t>DC-Gregory:</t>
        </r>
        <r>
          <rPr>
            <sz val="9"/>
            <rFont val="Tahoma"/>
            <family val="0"/>
          </rPr>
          <t xml:space="preserve">
from 1800 * latin america 1600/1800 change in horiz file</t>
        </r>
      </text>
    </comment>
    <comment ref="E124" authorId="0">
      <text>
        <r>
          <rPr>
            <b/>
            <sz val="9"/>
            <rFont val="Tahoma"/>
            <family val="0"/>
          </rPr>
          <t>DC-Gregory:</t>
        </r>
        <r>
          <rPr>
            <sz val="9"/>
            <rFont val="Tahoma"/>
            <family val="0"/>
          </rPr>
          <t xml:space="preserve">
from 1800 * latin america 1600/1800 change in horiz file</t>
        </r>
      </text>
    </comment>
    <comment ref="E125" authorId="0">
      <text>
        <r>
          <rPr>
            <b/>
            <sz val="9"/>
            <rFont val="Tahoma"/>
            <family val="0"/>
          </rPr>
          <t>DC-Gregory:</t>
        </r>
        <r>
          <rPr>
            <sz val="9"/>
            <rFont val="Tahoma"/>
            <family val="0"/>
          </rPr>
          <t xml:space="preserve">
from 1800 * latin america 1600/1800 change in horiz file</t>
        </r>
      </text>
    </comment>
    <comment ref="E123" authorId="0">
      <text>
        <r>
          <rPr>
            <b/>
            <sz val="9"/>
            <rFont val="Tahoma"/>
            <family val="0"/>
          </rPr>
          <t>DC-Gregory:</t>
        </r>
        <r>
          <rPr>
            <sz val="9"/>
            <rFont val="Tahoma"/>
            <family val="0"/>
          </rPr>
          <t xml:space="preserve">
from 1800 * latin america 1600/1800 change in horiz file</t>
        </r>
      </text>
    </comment>
    <comment ref="E41" authorId="0">
      <text>
        <r>
          <rPr>
            <b/>
            <sz val="9"/>
            <rFont val="Tahoma"/>
            <family val="0"/>
          </rPr>
          <t>DC-Gregory:</t>
        </r>
        <r>
          <rPr>
            <sz val="9"/>
            <rFont val="Tahoma"/>
            <family val="0"/>
          </rPr>
          <t xml:space="preserve">
from 1800 * finland 1600/1800 change in horiz file</t>
        </r>
      </text>
    </comment>
    <comment ref="E42" authorId="0">
      <text>
        <r>
          <rPr>
            <b/>
            <sz val="9"/>
            <rFont val="Tahoma"/>
            <family val="0"/>
          </rPr>
          <t>DC-Gregory:</t>
        </r>
        <r>
          <rPr>
            <sz val="9"/>
            <rFont val="Tahoma"/>
            <family val="0"/>
          </rPr>
          <t xml:space="preserve">
use 1800 with no change for Africa</t>
        </r>
      </text>
    </comment>
    <comment ref="E43" authorId="0">
      <text>
        <r>
          <rPr>
            <b/>
            <sz val="9"/>
            <rFont val="Tahoma"/>
            <family val="0"/>
          </rPr>
          <t>DC-Gregory:</t>
        </r>
        <r>
          <rPr>
            <sz val="9"/>
            <rFont val="Tahoma"/>
            <family val="0"/>
          </rPr>
          <t xml:space="preserve">
use 1800 with no change for Africa</t>
        </r>
      </text>
    </comment>
    <comment ref="E44" authorId="0">
      <text>
        <r>
          <rPr>
            <b/>
            <sz val="9"/>
            <rFont val="Tahoma"/>
            <family val="0"/>
          </rPr>
          <t>DC-Gregory:</t>
        </r>
        <r>
          <rPr>
            <sz val="9"/>
            <rFont val="Tahoma"/>
            <family val="0"/>
          </rPr>
          <t xml:space="preserve">
from 1800 * finland 1600/1800 change in horiz file</t>
        </r>
      </text>
    </comment>
    <comment ref="E47" authorId="0">
      <text>
        <r>
          <rPr>
            <b/>
            <sz val="9"/>
            <rFont val="Tahoma"/>
            <family val="0"/>
          </rPr>
          <t xml:space="preserve">DC-Gregory:
</t>
        </r>
        <r>
          <rPr>
            <sz val="9"/>
            <rFont val="Tahoma"/>
            <family val="2"/>
          </rPr>
          <t>from 1800 * former USSR 1600/1800 change in horiz file</t>
        </r>
        <r>
          <rPr>
            <sz val="9"/>
            <rFont val="Tahoma"/>
            <family val="0"/>
          </rPr>
          <t xml:space="preserve">
</t>
        </r>
      </text>
    </comment>
    <comment ref="A31" authorId="0">
      <text>
        <r>
          <rPr>
            <b/>
            <sz val="9"/>
            <rFont val="Tahoma"/>
            <family val="2"/>
          </rPr>
          <t>DC-Gregory:</t>
        </r>
        <r>
          <rPr>
            <sz val="9"/>
            <rFont val="Tahoma"/>
            <family val="2"/>
          </rPr>
          <t xml:space="preserve">
Guatamala .9
El Salvador .4
Hondoras  .4
Nicaragua  .3
</t>
        </r>
      </text>
    </comment>
    <comment ref="E58" authorId="0">
      <text>
        <r>
          <rPr>
            <b/>
            <sz val="9"/>
            <rFont val="Tahoma"/>
            <family val="2"/>
          </rPr>
          <t>DC-Gregory:</t>
        </r>
        <r>
          <rPr>
            <sz val="9"/>
            <rFont val="Tahoma"/>
            <family val="2"/>
          </rPr>
          <t xml:space="preserve">
from 1800 * small west european 1600/1800 change in horiz file</t>
        </r>
      </text>
    </comment>
    <comment ref="E55" authorId="0">
      <text>
        <r>
          <rPr>
            <b/>
            <sz val="9"/>
            <rFont val="Tahoma"/>
            <family val="2"/>
          </rPr>
          <t>DC-Gregory:</t>
        </r>
        <r>
          <rPr>
            <sz val="9"/>
            <rFont val="Tahoma"/>
            <family val="2"/>
          </rPr>
          <t xml:space="preserve">
from 1800 * east european 1600/1800 change in horiz file</t>
        </r>
      </text>
    </comment>
    <comment ref="E67" authorId="0">
      <text>
        <r>
          <rPr>
            <b/>
            <sz val="9"/>
            <rFont val="Tahoma"/>
            <family val="2"/>
          </rPr>
          <t>DC-Gregory:</t>
        </r>
        <r>
          <rPr>
            <sz val="9"/>
            <rFont val="Tahoma"/>
            <family val="2"/>
          </rPr>
          <t xml:space="preserve">
use 1800 * 1700/1800 change in horiz file.  Assume no growth 1600 to 1700</t>
        </r>
      </text>
    </comment>
    <comment ref="E76" authorId="0">
      <text>
        <r>
          <rPr>
            <b/>
            <sz val="9"/>
            <rFont val="Tahoma"/>
            <family val="2"/>
          </rPr>
          <t>DC-Gregory:</t>
        </r>
        <r>
          <rPr>
            <sz val="9"/>
            <rFont val="Tahoma"/>
            <family val="2"/>
          </rPr>
          <t xml:space="preserve">
use 1800 and no change in horiz file.  Assume no growth 1600 to 1800</t>
        </r>
      </text>
    </comment>
    <comment ref="C76" authorId="0">
      <text>
        <r>
          <rPr>
            <b/>
            <sz val="9"/>
            <rFont val="Tahoma"/>
            <family val="2"/>
          </rPr>
          <t>DC-Gregory:</t>
        </r>
        <r>
          <rPr>
            <sz val="9"/>
            <rFont val="Tahoma"/>
            <family val="2"/>
          </rPr>
          <t xml:space="preserve">
use 1700 value.
Assume no growth 1600 to 1700</t>
        </r>
      </text>
    </comment>
    <comment ref="E77" authorId="0">
      <text>
        <r>
          <rPr>
            <b/>
            <sz val="9"/>
            <rFont val="Tahoma"/>
            <family val="2"/>
          </rPr>
          <t>DC-Gregory:</t>
        </r>
        <r>
          <rPr>
            <sz val="9"/>
            <rFont val="Tahoma"/>
            <family val="2"/>
          </rPr>
          <t xml:space="preserve">
use 1800 * 1700/1800 change in horiz file.  Assume no growth 1600 to 1700</t>
        </r>
      </text>
    </comment>
    <comment ref="C77" authorId="0">
      <text>
        <r>
          <rPr>
            <b/>
            <sz val="9"/>
            <rFont val="Tahoma"/>
            <family val="2"/>
          </rPr>
          <t>DC-Gregory:</t>
        </r>
        <r>
          <rPr>
            <sz val="9"/>
            <rFont val="Tahoma"/>
            <family val="2"/>
          </rPr>
          <t xml:space="preserve">
use 1700 value.
Assume no growth 1600 to 1700</t>
        </r>
      </text>
    </comment>
    <comment ref="E79" authorId="0">
      <text>
        <r>
          <rPr>
            <b/>
            <sz val="9"/>
            <rFont val="Tahoma"/>
            <family val="2"/>
          </rPr>
          <t>DC-Gregory:</t>
        </r>
        <r>
          <rPr>
            <sz val="9"/>
            <rFont val="Tahoma"/>
            <family val="2"/>
          </rPr>
          <t xml:space="preserve">
from 1800 * west asia 1600/1800 change in horiz file</t>
        </r>
      </text>
    </comment>
    <comment ref="E96" authorId="0">
      <text>
        <r>
          <rPr>
            <b/>
            <sz val="9"/>
            <rFont val="Tahoma"/>
            <family val="2"/>
          </rPr>
          <t>DC-Gregory:</t>
        </r>
        <r>
          <rPr>
            <sz val="9"/>
            <rFont val="Tahoma"/>
            <family val="2"/>
          </rPr>
          <t xml:space="preserve">
from 1800 * west asia 1600/1800 change in horiz file</t>
        </r>
      </text>
    </comment>
    <comment ref="E97" authorId="0">
      <text>
        <r>
          <rPr>
            <b/>
            <sz val="9"/>
            <rFont val="Tahoma"/>
            <family val="2"/>
          </rPr>
          <t>DC-Gregory:</t>
        </r>
        <r>
          <rPr>
            <sz val="9"/>
            <rFont val="Tahoma"/>
            <family val="2"/>
          </rPr>
          <t xml:space="preserve">
from 1800 * former USSR 1600/1800 change in horiz file</t>
        </r>
      </text>
    </comment>
    <comment ref="E98" authorId="0">
      <text>
        <r>
          <rPr>
            <b/>
            <sz val="9"/>
            <rFont val="Tahoma"/>
            <family val="2"/>
          </rPr>
          <t>DC-Gregory:</t>
        </r>
        <r>
          <rPr>
            <sz val="9"/>
            <rFont val="Tahoma"/>
            <family val="2"/>
          </rPr>
          <t xml:space="preserve">
from 1800 uzbekistan * former USSR 1600/1800 change in horiz file</t>
        </r>
      </text>
    </comment>
    <comment ref="E100" authorId="0">
      <text>
        <r>
          <rPr>
            <b/>
            <sz val="9"/>
            <rFont val="Tahoma"/>
            <family val="0"/>
          </rPr>
          <t>DC-Gregory:</t>
        </r>
        <r>
          <rPr>
            <sz val="9"/>
            <rFont val="Tahoma"/>
            <family val="0"/>
          </rPr>
          <t xml:space="preserve">
from 1800 with no east asia 1600/1800 change in horiz file</t>
        </r>
      </text>
    </comment>
    <comment ref="E101" authorId="0">
      <text>
        <r>
          <rPr>
            <b/>
            <sz val="9"/>
            <rFont val="Tahoma"/>
            <family val="0"/>
          </rPr>
          <t>DC-Gregory:</t>
        </r>
        <r>
          <rPr>
            <sz val="9"/>
            <rFont val="Tahoma"/>
            <family val="0"/>
          </rPr>
          <t xml:space="preserve">
from 1800 with no east asia 1600/1800 change in horiz file</t>
        </r>
      </text>
    </comment>
    <comment ref="E102" authorId="0">
      <text>
        <r>
          <rPr>
            <b/>
            <sz val="9"/>
            <rFont val="Tahoma"/>
            <family val="0"/>
          </rPr>
          <t>DC-Gregory:</t>
        </r>
        <r>
          <rPr>
            <sz val="9"/>
            <rFont val="Tahoma"/>
            <family val="0"/>
          </rPr>
          <t xml:space="preserve">
from 1800 with no east asia 1600/1800 change in horiz file</t>
        </r>
      </text>
    </comment>
    <comment ref="E104" authorId="0">
      <text>
        <r>
          <rPr>
            <b/>
            <sz val="9"/>
            <rFont val="Tahoma"/>
            <family val="0"/>
          </rPr>
          <t>DC-Gregory:</t>
        </r>
        <r>
          <rPr>
            <sz val="9"/>
            <rFont val="Tahoma"/>
            <family val="0"/>
          </rPr>
          <t xml:space="preserve">
use 1800 with no change for Africa</t>
        </r>
      </text>
    </comment>
    <comment ref="A129" authorId="0">
      <text>
        <r>
          <rPr>
            <b/>
            <sz val="9"/>
            <rFont val="Tahoma"/>
            <family val="0"/>
          </rPr>
          <t>DC-Gregory:</t>
        </r>
        <r>
          <rPr>
            <sz val="9"/>
            <rFont val="Tahoma"/>
            <family val="0"/>
          </rPr>
          <t xml:space="preserve">
The Polish-Lithuania had  (5m Ruthenians, 4.5m Poles, 0.75m Lithuanians, 0.75m Prussians, 0.5m Jews and 0.5m Livionians (Latvians))</t>
        </r>
      </text>
    </comment>
    <comment ref="F130" authorId="0">
      <text>
        <r>
          <rPr>
            <b/>
            <sz val="9"/>
            <rFont val="Tahoma"/>
            <family val="0"/>
          </rPr>
          <t>DC-Gregory:</t>
        </r>
        <r>
          <rPr>
            <sz val="9"/>
            <rFont val="Tahoma"/>
            <family val="0"/>
          </rPr>
          <t xml:space="preserve">
3.5 m of 5m in Poland</t>
        </r>
      </text>
    </comment>
    <comment ref="E131" authorId="0">
      <text>
        <r>
          <rPr>
            <b/>
            <sz val="9"/>
            <rFont val="Tahoma"/>
            <family val="0"/>
          </rPr>
          <t>DC-Gregory:</t>
        </r>
        <r>
          <rPr>
            <sz val="9"/>
            <rFont val="Tahoma"/>
            <family val="0"/>
          </rPr>
          <t xml:space="preserve">
from 1800 * former USSR 1600/1800 change in horiz file</t>
        </r>
      </text>
    </comment>
    <comment ref="E132" authorId="0">
      <text>
        <r>
          <rPr>
            <b/>
            <sz val="9"/>
            <rFont val="Tahoma"/>
            <family val="0"/>
          </rPr>
          <t>DC-Gregory:</t>
        </r>
        <r>
          <rPr>
            <sz val="9"/>
            <rFont val="Tahoma"/>
            <family val="0"/>
          </rPr>
          <t xml:space="preserve">
from 1800 * former USSR 1600/1800 change in horiz file</t>
        </r>
      </text>
    </comment>
    <comment ref="E133" authorId="0">
      <text>
        <r>
          <rPr>
            <b/>
            <sz val="9"/>
            <rFont val="Tahoma"/>
            <family val="0"/>
          </rPr>
          <t>DC-Gregory:</t>
        </r>
        <r>
          <rPr>
            <sz val="9"/>
            <rFont val="Tahoma"/>
            <family val="0"/>
          </rPr>
          <t xml:space="preserve">
from 1800 * former USSR 1600/1800 change in horiz file</t>
        </r>
      </text>
    </comment>
    <comment ref="E134" authorId="0">
      <text>
        <r>
          <rPr>
            <b/>
            <sz val="9"/>
            <rFont val="Tahoma"/>
            <family val="0"/>
          </rPr>
          <t>DC-Gregory:</t>
        </r>
        <r>
          <rPr>
            <sz val="9"/>
            <rFont val="Tahoma"/>
            <family val="0"/>
          </rPr>
          <t xml:space="preserve">
from 1800 * former USSR 1600/1800 change in horiz file</t>
        </r>
      </text>
    </comment>
    <comment ref="F49" authorId="0">
      <text>
        <r>
          <rPr>
            <b/>
            <sz val="9"/>
            <rFont val="Tahoma"/>
            <family val="0"/>
          </rPr>
          <t>DC-Gregory:</t>
        </r>
        <r>
          <rPr>
            <sz val="9"/>
            <rFont val="Tahoma"/>
            <family val="0"/>
          </rPr>
          <t xml:space="preserve">
includes 1m Poland
0.5 m France</t>
        </r>
      </text>
    </comment>
    <comment ref="E135" authorId="0">
      <text>
        <r>
          <rPr>
            <b/>
            <sz val="9"/>
            <rFont val="Tahoma"/>
            <family val="0"/>
          </rPr>
          <t>DC-Gregory:</t>
        </r>
        <r>
          <rPr>
            <sz val="9"/>
            <rFont val="Tahoma"/>
            <family val="0"/>
          </rPr>
          <t xml:space="preserve">
from 1800 * former USSR 1600/1800 change in horiz file</t>
        </r>
      </text>
    </comment>
    <comment ref="E105" authorId="0">
      <text>
        <r>
          <rPr>
            <b/>
            <sz val="9"/>
            <rFont val="Tahoma"/>
            <family val="0"/>
          </rPr>
          <t>DC-Gregory:</t>
        </r>
        <r>
          <rPr>
            <sz val="9"/>
            <rFont val="Tahoma"/>
            <family val="0"/>
          </rPr>
          <t xml:space="preserve">
from 1800 with no east asia 1600/1800 change in horiz file</t>
        </r>
      </text>
    </comment>
    <comment ref="E109" authorId="0">
      <text>
        <r>
          <rPr>
            <b/>
            <sz val="9"/>
            <rFont val="Tahoma"/>
            <family val="0"/>
          </rPr>
          <t>DC-Gregory:</t>
        </r>
        <r>
          <rPr>
            <sz val="9"/>
            <rFont val="Tahoma"/>
            <family val="0"/>
          </rPr>
          <t xml:space="preserve">
use 1800 with no change for Africa</t>
        </r>
      </text>
    </comment>
    <comment ref="E110" authorId="0">
      <text>
        <r>
          <rPr>
            <b/>
            <sz val="9"/>
            <rFont val="Tahoma"/>
            <family val="0"/>
          </rPr>
          <t>DC-Gregory:</t>
        </r>
        <r>
          <rPr>
            <sz val="9"/>
            <rFont val="Tahoma"/>
            <family val="0"/>
          </rPr>
          <t xml:space="preserve">
from 1800 * mexico 1600/1800 change in horiz file</t>
        </r>
      </text>
    </comment>
    <comment ref="A106" authorId="0">
      <text>
        <r>
          <rPr>
            <b/>
            <sz val="9"/>
            <rFont val="Tahoma"/>
            <family val="0"/>
          </rPr>
          <t>DC-Gregory:</t>
        </r>
        <r>
          <rPr>
            <sz val="9"/>
            <rFont val="Tahoma"/>
            <family val="0"/>
          </rPr>
          <t xml:space="preserve">
southern Thai provinces of Pattani, Yala (Jala), Narathiwat (Menara), and parts of Songkhla (Singgora).
</t>
        </r>
      </text>
    </comment>
    <comment ref="A70" authorId="0">
      <text>
        <r>
          <rPr>
            <b/>
            <sz val="9"/>
            <rFont val="Tahoma"/>
            <family val="0"/>
          </rPr>
          <t>DC-Gregory:</t>
        </r>
        <r>
          <rPr>
            <sz val="9"/>
            <rFont val="Tahoma"/>
            <family val="0"/>
          </rPr>
          <t xml:space="preserve">
Banten ruled over the entire territory of the former kingdom of Sunda, which corresponds to most of current Indonesian province of West Java.</t>
        </r>
      </text>
    </comment>
    <comment ref="F70" authorId="0">
      <text>
        <r>
          <rPr>
            <b/>
            <sz val="9"/>
            <rFont val="Tahoma"/>
            <family val="0"/>
          </rPr>
          <t>DC-Gregory:</t>
        </r>
        <r>
          <rPr>
            <sz val="9"/>
            <rFont val="Tahoma"/>
            <family val="0"/>
          </rPr>
          <t xml:space="preserve">
3/4 of West Java + Lampung</t>
        </r>
      </text>
    </comment>
    <comment ref="F71" authorId="0">
      <text>
        <r>
          <rPr>
            <b/>
            <sz val="9"/>
            <rFont val="Tahoma"/>
            <family val="0"/>
          </rPr>
          <t>DC-Gregory:</t>
        </r>
        <r>
          <rPr>
            <sz val="9"/>
            <rFont val="Tahoma"/>
            <family val="0"/>
          </rPr>
          <t xml:space="preserve">
West Java + Lampung</t>
        </r>
      </text>
    </comment>
    <comment ref="F68" authorId="0">
      <text>
        <r>
          <rPr>
            <b/>
            <sz val="9"/>
            <rFont val="Tahoma"/>
            <family val="0"/>
          </rPr>
          <t>DC-Gregory:</t>
        </r>
        <r>
          <rPr>
            <sz val="9"/>
            <rFont val="Tahoma"/>
            <family val="0"/>
          </rPr>
          <t xml:space="preserve">
Ache + half pop of west sumatra</t>
        </r>
      </text>
    </comment>
    <comment ref="E115" authorId="0">
      <text>
        <r>
          <rPr>
            <b/>
            <sz val="9"/>
            <rFont val="Tahoma"/>
            <family val="0"/>
          </rPr>
          <t>DC-Gregory:</t>
        </r>
        <r>
          <rPr>
            <sz val="9"/>
            <rFont val="Tahoma"/>
            <family val="0"/>
          </rPr>
          <t xml:space="preserve">
from 1800 with no east asia 1600/1800 change in horiz file</t>
        </r>
      </text>
    </comment>
    <comment ref="E117" authorId="0">
      <text>
        <r>
          <rPr>
            <b/>
            <sz val="9"/>
            <rFont val="Tahoma"/>
            <family val="0"/>
          </rPr>
          <t>DC-Gregory:</t>
        </r>
        <r>
          <rPr>
            <sz val="9"/>
            <rFont val="Tahoma"/>
            <family val="0"/>
          </rPr>
          <t xml:space="preserve">
use 1800 with no change for Africa</t>
        </r>
      </text>
    </comment>
    <comment ref="E118" authorId="0">
      <text>
        <r>
          <rPr>
            <b/>
            <sz val="9"/>
            <rFont val="Tahoma"/>
            <family val="0"/>
          </rPr>
          <t>DC-Gregory:</t>
        </r>
        <r>
          <rPr>
            <sz val="9"/>
            <rFont val="Tahoma"/>
            <family val="0"/>
          </rPr>
          <t xml:space="preserve">
from 1800 * norway 1600/1800 change in horiz file</t>
        </r>
      </text>
    </comment>
    <comment ref="E127" authorId="0">
      <text>
        <r>
          <rPr>
            <b/>
            <sz val="9"/>
            <rFont val="Tahoma"/>
            <family val="0"/>
          </rPr>
          <t>DC-Gregory:</t>
        </r>
        <r>
          <rPr>
            <sz val="9"/>
            <rFont val="Tahoma"/>
            <family val="0"/>
          </rPr>
          <t xml:space="preserve">
from 1800 with no east asia 1600/1800 change in horiz file</t>
        </r>
      </text>
    </comment>
    <comment ref="E136" authorId="0">
      <text>
        <r>
          <rPr>
            <b/>
            <sz val="9"/>
            <rFont val="Tahoma"/>
            <family val="2"/>
          </rPr>
          <t>DC-Gregory:</t>
        </r>
        <r>
          <rPr>
            <sz val="9"/>
            <rFont val="Tahoma"/>
            <family val="2"/>
          </rPr>
          <t xml:space="preserve">
1700: 1163 * portugal 1600/1700 change in horiz file</t>
        </r>
      </text>
    </comment>
    <comment ref="E138" authorId="0">
      <text>
        <r>
          <rPr>
            <b/>
            <sz val="9"/>
            <rFont val="Tahoma"/>
            <family val="2"/>
          </rPr>
          <t>DC-Gregory:</t>
        </r>
        <r>
          <rPr>
            <sz val="9"/>
            <rFont val="Tahoma"/>
            <family val="2"/>
          </rPr>
          <t xml:space="preserve">
from 1800 * east european 1600/1800 change in horiz file</t>
        </r>
      </text>
    </comment>
    <comment ref="E141" authorId="0">
      <text>
        <r>
          <rPr>
            <b/>
            <sz val="9"/>
            <rFont val="Tahoma"/>
            <family val="0"/>
          </rPr>
          <t>DC-Gregory:</t>
        </r>
        <r>
          <rPr>
            <sz val="9"/>
            <rFont val="Tahoma"/>
            <family val="0"/>
          </rPr>
          <t xml:space="preserve">
from 1800 * former USSR 1600/1800 change in horiz file</t>
        </r>
      </text>
    </comment>
    <comment ref="E142" authorId="0">
      <text>
        <r>
          <rPr>
            <b/>
            <sz val="9"/>
            <rFont val="Tahoma"/>
            <family val="0"/>
          </rPr>
          <t>DC-Gregory:</t>
        </r>
        <r>
          <rPr>
            <sz val="9"/>
            <rFont val="Tahoma"/>
            <family val="0"/>
          </rPr>
          <t xml:space="preserve">
use 1800 with no change for Africa</t>
        </r>
      </text>
    </comment>
    <comment ref="E143" authorId="0">
      <text>
        <r>
          <rPr>
            <b/>
            <sz val="9"/>
            <rFont val="Tahoma"/>
            <family val="2"/>
          </rPr>
          <t>DC-Gregory:</t>
        </r>
        <r>
          <rPr>
            <sz val="9"/>
            <rFont val="Tahoma"/>
            <family val="2"/>
          </rPr>
          <t xml:space="preserve">
from 1800 * west asia 1600/1800 change in horiz file</t>
        </r>
      </text>
    </comment>
    <comment ref="E147" authorId="0">
      <text>
        <r>
          <rPr>
            <b/>
            <sz val="9"/>
            <rFont val="Tahoma"/>
            <family val="0"/>
          </rPr>
          <t>DC-Gregory:</t>
        </r>
        <r>
          <rPr>
            <sz val="9"/>
            <rFont val="Tahoma"/>
            <family val="0"/>
          </rPr>
          <t xml:space="preserve">
from 1800 with no east asia 1600/1800 change in horiz file</t>
        </r>
      </text>
    </comment>
    <comment ref="E148" authorId="0">
      <text>
        <r>
          <rPr>
            <b/>
            <sz val="9"/>
            <rFont val="Tahoma"/>
            <family val="0"/>
          </rPr>
          <t>DC-Gregory:</t>
        </r>
        <r>
          <rPr>
            <sz val="9"/>
            <rFont val="Tahoma"/>
            <family val="0"/>
          </rPr>
          <t xml:space="preserve">
from 1800 with no east asia 1600/1800 change in horiz file</t>
        </r>
      </text>
    </comment>
    <comment ref="E150" authorId="0">
      <text>
        <r>
          <rPr>
            <b/>
            <sz val="9"/>
            <rFont val="Tahoma"/>
            <family val="0"/>
          </rPr>
          <t>DC-Gregory:</t>
        </r>
        <r>
          <rPr>
            <sz val="9"/>
            <rFont val="Tahoma"/>
            <family val="0"/>
          </rPr>
          <t xml:space="preserve">
use 1800 with no change for Africa</t>
        </r>
      </text>
    </comment>
    <comment ref="E149" authorId="0">
      <text>
        <r>
          <rPr>
            <b/>
            <sz val="9"/>
            <rFont val="Tahoma"/>
            <family val="0"/>
          </rPr>
          <t>DC-Gregory:</t>
        </r>
        <r>
          <rPr>
            <sz val="9"/>
            <rFont val="Tahoma"/>
            <family val="0"/>
          </rPr>
          <t xml:space="preserve">
use 1800 with no change for Africa</t>
        </r>
      </text>
    </comment>
    <comment ref="E154" authorId="0">
      <text>
        <r>
          <rPr>
            <b/>
            <sz val="9"/>
            <rFont val="Tahoma"/>
            <family val="2"/>
          </rPr>
          <t>DC-Gregory:</t>
        </r>
        <r>
          <rPr>
            <sz val="9"/>
            <rFont val="Tahoma"/>
            <family val="2"/>
          </rPr>
          <t xml:space="preserve">
from 1800 * west asia 1600/1800 change in horiz file</t>
        </r>
      </text>
    </comment>
    <comment ref="E103" authorId="0">
      <text>
        <r>
          <rPr>
            <b/>
            <sz val="9"/>
            <rFont val="Tahoma"/>
            <family val="2"/>
          </rPr>
          <t>DC-Gregory:</t>
        </r>
        <r>
          <rPr>
            <sz val="9"/>
            <rFont val="Tahoma"/>
            <family val="2"/>
          </rPr>
          <t xml:space="preserve">
from 1800 * west asia 1600/1800 change in horiz file</t>
        </r>
      </text>
    </comment>
    <comment ref="E155" authorId="0">
      <text>
        <r>
          <rPr>
            <b/>
            <sz val="9"/>
            <rFont val="Tahoma"/>
            <family val="0"/>
          </rPr>
          <t>DC-Gregory:</t>
        </r>
        <r>
          <rPr>
            <sz val="9"/>
            <rFont val="Tahoma"/>
            <family val="0"/>
          </rPr>
          <t xml:space="preserve">
from 1800 with no east asia 1600/1800 change in horiz file</t>
        </r>
      </text>
    </comment>
    <comment ref="F155" authorId="0">
      <text>
        <r>
          <rPr>
            <b/>
            <sz val="9"/>
            <rFont val="Tahoma"/>
            <family val="0"/>
          </rPr>
          <t>DC-Gregory:</t>
        </r>
        <r>
          <rPr>
            <sz val="9"/>
            <rFont val="Tahoma"/>
            <family val="0"/>
          </rPr>
          <t xml:space="preserve">
Thai attack on Burma, resulting in the capture of the Tanintharyi Region as far as Mottama in 1595</t>
        </r>
      </text>
    </comment>
    <comment ref="E157" authorId="0">
      <text>
        <r>
          <rPr>
            <b/>
            <sz val="9"/>
            <rFont val="Tahoma"/>
            <family val="0"/>
          </rPr>
          <t>DC-Gregory:</t>
        </r>
        <r>
          <rPr>
            <sz val="9"/>
            <rFont val="Tahoma"/>
            <family val="0"/>
          </rPr>
          <t xml:space="preserve">
use average for border region of Burma &amp; Siam</t>
        </r>
      </text>
    </comment>
    <comment ref="E156" authorId="0">
      <text>
        <r>
          <rPr>
            <b/>
            <sz val="9"/>
            <rFont val="Tahoma"/>
            <family val="0"/>
          </rPr>
          <t>DC-Gregory:</t>
        </r>
        <r>
          <rPr>
            <sz val="9"/>
            <rFont val="Tahoma"/>
            <family val="0"/>
          </rPr>
          <t xml:space="preserve">
from 1800 with no east asia 1600/1800 change in horiz file</t>
        </r>
      </text>
    </comment>
    <comment ref="E158" authorId="0">
      <text>
        <r>
          <rPr>
            <b/>
            <sz val="9"/>
            <rFont val="Tahoma"/>
            <family val="0"/>
          </rPr>
          <t>DC-Gregory:</t>
        </r>
        <r>
          <rPr>
            <sz val="9"/>
            <rFont val="Tahoma"/>
            <family val="0"/>
          </rPr>
          <t xml:space="preserve">
use 1800 with no change for Africa</t>
        </r>
      </text>
    </comment>
    <comment ref="E162" authorId="0">
      <text>
        <r>
          <rPr>
            <b/>
            <sz val="9"/>
            <rFont val="Tahoma"/>
            <family val="0"/>
          </rPr>
          <t>DC-Gregory:</t>
        </r>
        <r>
          <rPr>
            <sz val="9"/>
            <rFont val="Tahoma"/>
            <family val="0"/>
          </rPr>
          <t xml:space="preserve">
from 1800 * former USSR 1600/1800 change in horiz file</t>
        </r>
      </text>
    </comment>
    <comment ref="E166" authorId="0">
      <text>
        <r>
          <rPr>
            <b/>
            <sz val="9"/>
            <rFont val="Tahoma"/>
            <family val="0"/>
          </rPr>
          <t>DC-Gregory:</t>
        </r>
        <r>
          <rPr>
            <sz val="9"/>
            <rFont val="Tahoma"/>
            <family val="0"/>
          </rPr>
          <t xml:space="preserve">
from 1800 * latin america 1600/1800 change in horiz file</t>
        </r>
      </text>
    </comment>
    <comment ref="E168" authorId="0">
      <text>
        <r>
          <rPr>
            <b/>
            <sz val="9"/>
            <rFont val="Tahoma"/>
            <family val="0"/>
          </rPr>
          <t>DC-Gregory:</t>
        </r>
        <r>
          <rPr>
            <sz val="9"/>
            <rFont val="Tahoma"/>
            <family val="0"/>
          </rPr>
          <t xml:space="preserve">
from 1800 with no east asia 1600/1800 change in horiz file</t>
        </r>
      </text>
    </comment>
    <comment ref="E106" authorId="0">
      <text>
        <r>
          <rPr>
            <b/>
            <sz val="9"/>
            <rFont val="Tahoma"/>
            <family val="0"/>
          </rPr>
          <t>DC-Gregory:</t>
        </r>
        <r>
          <rPr>
            <sz val="9"/>
            <rFont val="Tahoma"/>
            <family val="0"/>
          </rPr>
          <t xml:space="preserve">
use Malaysia (higher value)for southern most Thai area in golder age of Malaya</t>
        </r>
      </text>
    </comment>
    <comment ref="A168" authorId="0">
      <text>
        <r>
          <rPr>
            <b/>
            <sz val="9"/>
            <rFont val="Tahoma"/>
            <family val="0"/>
          </rPr>
          <t>DC-Gregory:</t>
        </r>
        <r>
          <rPr>
            <sz val="9"/>
            <rFont val="Tahoma"/>
            <family val="0"/>
          </rPr>
          <t xml:space="preserve">
the Nguyễn lords in the South and the Trịnh lords in the North, both ruling in the name of the Lê emperor</t>
        </r>
      </text>
    </comment>
    <comment ref="E21" authorId="0">
      <text>
        <r>
          <rPr>
            <b/>
            <sz val="9"/>
            <rFont val="Tahoma"/>
            <family val="0"/>
          </rPr>
          <t>DC-Gregory:</t>
        </r>
        <r>
          <rPr>
            <sz val="9"/>
            <rFont val="Tahoma"/>
            <family val="0"/>
          </rPr>
          <t xml:space="preserve">
from 1800 with no east asia 1600/1800 change in horiz file</t>
        </r>
      </text>
    </comment>
    <comment ref="E174" authorId="0">
      <text>
        <r>
          <rPr>
            <b/>
            <sz val="9"/>
            <rFont val="Tahoma"/>
            <family val="2"/>
          </rPr>
          <t>DC-Gregory:</t>
        </r>
        <r>
          <rPr>
            <sz val="9"/>
            <rFont val="Tahoma"/>
            <family val="2"/>
          </rPr>
          <t xml:space="preserve">
from 1800 * west asia 1600/1800 change in horiz file</t>
        </r>
      </text>
    </comment>
    <comment ref="F81" authorId="0">
      <text>
        <r>
          <rPr>
            <b/>
            <sz val="9"/>
            <rFont val="Tahoma"/>
            <family val="0"/>
          </rPr>
          <t>DC-Gregory:</t>
        </r>
        <r>
          <rPr>
            <sz val="9"/>
            <rFont val="Tahoma"/>
            <family val="0"/>
          </rPr>
          <t xml:space="preserve">
assume 1m in Italy; .25m in France</t>
        </r>
      </text>
    </comment>
    <comment ref="E26" authorId="0">
      <text>
        <r>
          <rPr>
            <b/>
            <sz val="9"/>
            <rFont val="Tahoma"/>
            <family val="2"/>
          </rPr>
          <t>DC-Gregory:</t>
        </r>
        <r>
          <rPr>
            <sz val="9"/>
            <rFont val="Tahoma"/>
            <family val="2"/>
          </rPr>
          <t xml:space="preserve">
940 in 1661 converted from 2011 US$ to 2005 US$. Source mpd2018 (cgdppc)</t>
        </r>
      </text>
    </comment>
    <comment ref="F72" authorId="0">
      <text>
        <r>
          <rPr>
            <b/>
            <sz val="9"/>
            <rFont val="Tahoma"/>
            <family val="0"/>
          </rPr>
          <t>DC-Gregory:</t>
        </r>
        <r>
          <rPr>
            <sz val="9"/>
            <rFont val="Tahoma"/>
            <family val="0"/>
          </rPr>
          <t xml:space="preserve">
West Java + Lampung</t>
        </r>
      </text>
    </comment>
    <comment ref="A28" authorId="0">
      <text>
        <r>
          <rPr>
            <b/>
            <sz val="9"/>
            <rFont val="Tahoma"/>
            <family val="0"/>
          </rPr>
          <t>DC-Gregory:</t>
        </r>
        <r>
          <rPr>
            <sz val="9"/>
            <rFont val="Tahoma"/>
            <family val="0"/>
          </rPr>
          <t xml:space="preserve">
Tsangpa was a dynasty that dominated large parts of Tibet from 1565 to 1642.</t>
        </r>
      </text>
    </comment>
    <comment ref="A75" authorId="0">
      <text>
        <r>
          <rPr>
            <b/>
            <sz val="9"/>
            <rFont val="Tahoma"/>
            <family val="0"/>
          </rPr>
          <t>DC-Gregory:</t>
        </r>
        <r>
          <rPr>
            <sz val="9"/>
            <rFont val="Tahoma"/>
            <family val="0"/>
          </rPr>
          <t xml:space="preserve">
Ternate's power came near the end of the 16th century, under Sultan Baabullah (1570–1583), when it had influence over most of the eastern part of Sulawesi, the Ambon and Seram area, Timor island, parts of southern Mindanao and as well as parts of Papua.</t>
        </r>
      </text>
    </comment>
    <comment ref="F28" authorId="0">
      <text>
        <r>
          <rPr>
            <b/>
            <sz val="9"/>
            <rFont val="Tahoma"/>
            <family val="0"/>
          </rPr>
          <t>DC-Gregory:</t>
        </r>
        <r>
          <rPr>
            <sz val="9"/>
            <rFont val="Tahoma"/>
            <family val="0"/>
          </rPr>
          <t xml:space="preserve">
half the tibet area</t>
        </r>
      </text>
    </comment>
  </commentList>
</comments>
</file>

<file path=xl/comments4.xml><?xml version="1.0" encoding="utf-8"?>
<comments xmlns="http://schemas.openxmlformats.org/spreadsheetml/2006/main">
  <authors>
    <author>DC-Gregory</author>
  </authors>
  <commentList>
    <comment ref="D2" authorId="0">
      <text>
        <r>
          <rPr>
            <b/>
            <sz val="9"/>
            <rFont val="Tahoma"/>
            <family val="2"/>
          </rPr>
          <t>DC-Gregory:</t>
        </r>
        <r>
          <rPr>
            <sz val="9"/>
            <rFont val="Tahoma"/>
            <family val="2"/>
          </rPr>
          <t xml:space="preserve">
similar to india for se asia</t>
        </r>
      </text>
    </comment>
    <comment ref="E2" authorId="0">
      <text>
        <r>
          <rPr>
            <b/>
            <sz val="9"/>
            <rFont val="Tahoma"/>
            <family val="0"/>
          </rPr>
          <t>DC-Gregory:</t>
        </r>
        <r>
          <rPr>
            <sz val="9"/>
            <rFont val="Tahoma"/>
            <family val="0"/>
          </rPr>
          <t xml:space="preserve">
from 1800 * pakistan 1600/1800 change</t>
        </r>
      </text>
    </comment>
    <comment ref="E4" authorId="0">
      <text>
        <r>
          <rPr>
            <b/>
            <sz val="9"/>
            <rFont val="Tahoma"/>
            <family val="0"/>
          </rPr>
          <t>DC-Gregory:</t>
        </r>
        <r>
          <rPr>
            <sz val="9"/>
            <rFont val="Tahoma"/>
            <family val="0"/>
          </rPr>
          <t xml:space="preserve">
from 1800 * greece 1600/1800 change</t>
        </r>
      </text>
    </comment>
    <comment ref="E5" authorId="0">
      <text>
        <r>
          <rPr>
            <b/>
            <sz val="9"/>
            <rFont val="Tahoma"/>
            <family val="0"/>
          </rPr>
          <t>DC-Gregory:</t>
        </r>
        <r>
          <rPr>
            <sz val="9"/>
            <rFont val="Tahoma"/>
            <family val="0"/>
          </rPr>
          <t xml:space="preserve">
use 1800 with no change for Africa</t>
        </r>
      </text>
    </comment>
    <comment ref="D6" authorId="0">
      <text>
        <r>
          <rPr>
            <b/>
            <sz val="9"/>
            <rFont val="Tahoma"/>
            <family val="0"/>
          </rPr>
          <t>DC-Gregory:</t>
        </r>
        <r>
          <rPr>
            <sz val="9"/>
            <rFont val="Tahoma"/>
            <family val="0"/>
          </rPr>
          <t xml:space="preserve">
similar to morroco for Africa</t>
        </r>
      </text>
    </comment>
    <comment ref="E6" authorId="0">
      <text>
        <r>
          <rPr>
            <b/>
            <sz val="9"/>
            <rFont val="Tahoma"/>
            <family val="0"/>
          </rPr>
          <t>DC-Gregory:</t>
        </r>
        <r>
          <rPr>
            <sz val="9"/>
            <rFont val="Tahoma"/>
            <family val="0"/>
          </rPr>
          <t xml:space="preserve">
use 1800 with no change for Africa</t>
        </r>
      </text>
    </comment>
    <comment ref="F6" authorId="0">
      <text>
        <r>
          <rPr>
            <b/>
            <sz val="9"/>
            <rFont val="Tahoma"/>
            <family val="0"/>
          </rPr>
          <t>DC-Gregory:</t>
        </r>
        <r>
          <rPr>
            <sz val="9"/>
            <rFont val="Tahoma"/>
            <family val="0"/>
          </rPr>
          <t xml:space="preserve">
Angola pop is =3/15*8.5 Atas of world pop. Kongo was in 3 ne states.= 0.2m =3/15*8.5*(0.55/4.6)
Populstat.info</t>
        </r>
      </text>
    </comment>
    <comment ref="E7" authorId="0">
      <text>
        <r>
          <rPr>
            <b/>
            <sz val="9"/>
            <rFont val="Tahoma"/>
            <family val="0"/>
          </rPr>
          <t>DC-Gregory:</t>
        </r>
        <r>
          <rPr>
            <sz val="9"/>
            <rFont val="Tahoma"/>
            <family val="0"/>
          </rPr>
          <t xml:space="preserve">
use 1800 with no change for Africa</t>
        </r>
      </text>
    </comment>
    <comment ref="F7" authorId="0">
      <text>
        <r>
          <rPr>
            <b/>
            <sz val="9"/>
            <rFont val="Tahoma"/>
            <family val="0"/>
          </rPr>
          <t>DC-Gregory:</t>
        </r>
        <r>
          <rPr>
            <sz val="9"/>
            <rFont val="Tahoma"/>
            <family val="0"/>
          </rPr>
          <t xml:space="preserve">
Angola pop is =3/15*8.5 Atas of world pop. Port. Angola was in Luanga
Populstat.info</t>
        </r>
      </text>
    </comment>
    <comment ref="E8" authorId="0">
      <text>
        <r>
          <rPr>
            <b/>
            <sz val="9"/>
            <rFont val="Tahoma"/>
            <family val="0"/>
          </rPr>
          <t>DC-Gregory:</t>
        </r>
        <r>
          <rPr>
            <sz val="9"/>
            <rFont val="Tahoma"/>
            <family val="0"/>
          </rPr>
          <t xml:space="preserve">
from 1800 * turkey 1600/1800 horiz file change</t>
        </r>
      </text>
    </comment>
    <comment ref="E11" authorId="0">
      <text>
        <r>
          <rPr>
            <b/>
            <sz val="9"/>
            <rFont val="Tahoma"/>
            <family val="0"/>
          </rPr>
          <t>DC-Gregory:</t>
        </r>
        <r>
          <rPr>
            <sz val="9"/>
            <rFont val="Tahoma"/>
            <family val="0"/>
          </rPr>
          <t xml:space="preserve">
from 1800 * russian empire 1600/1800 change in horiz file</t>
        </r>
      </text>
    </comment>
    <comment ref="E12" authorId="0">
      <text>
        <r>
          <rPr>
            <b/>
            <sz val="9"/>
            <rFont val="Tahoma"/>
            <family val="0"/>
          </rPr>
          <t>DC-Gregory:</t>
        </r>
        <r>
          <rPr>
            <sz val="9"/>
            <rFont val="Tahoma"/>
            <family val="0"/>
          </rPr>
          <t xml:space="preserve">
from 1800 * latin america 1600/1800 change in horiz file</t>
        </r>
      </text>
    </comment>
    <comment ref="E14" authorId="0">
      <text>
        <r>
          <rPr>
            <b/>
            <sz val="9"/>
            <rFont val="Tahoma"/>
            <family val="0"/>
          </rPr>
          <t>DC-Gregory:</t>
        </r>
        <r>
          <rPr>
            <sz val="9"/>
            <rFont val="Tahoma"/>
            <family val="0"/>
          </rPr>
          <t xml:space="preserve">
from 1800 *latin america 1600/1800 change in horiz file</t>
        </r>
      </text>
    </comment>
    <comment ref="E15" authorId="0">
      <text>
        <r>
          <rPr>
            <b/>
            <sz val="9"/>
            <rFont val="Tahoma"/>
            <family val="0"/>
          </rPr>
          <t>DC-Gregory:</t>
        </r>
        <r>
          <rPr>
            <sz val="9"/>
            <rFont val="Tahoma"/>
            <family val="0"/>
          </rPr>
          <t xml:space="preserve">
from 1800 *brazil 1600/1800 change in horiz file</t>
        </r>
      </text>
    </comment>
    <comment ref="E16" authorId="0">
      <text>
        <r>
          <rPr>
            <b/>
            <sz val="9"/>
            <rFont val="Tahoma"/>
            <family val="0"/>
          </rPr>
          <t>DC-Gregory:</t>
        </r>
        <r>
          <rPr>
            <sz val="9"/>
            <rFont val="Tahoma"/>
            <family val="0"/>
          </rPr>
          <t xml:space="preserve">
from 1800 * east europe 1600/1800 change in horiz file</t>
        </r>
      </text>
    </comment>
    <comment ref="D17" authorId="0">
      <text>
        <r>
          <rPr>
            <b/>
            <sz val="9"/>
            <rFont val="Tahoma"/>
            <family val="2"/>
          </rPr>
          <t>DC-Gregory:</t>
        </r>
        <r>
          <rPr>
            <sz val="9"/>
            <rFont val="Tahoma"/>
            <family val="2"/>
          </rPr>
          <t xml:space="preserve">
similar to india for se asia</t>
        </r>
      </text>
    </comment>
    <comment ref="E17" authorId="0">
      <text>
        <r>
          <rPr>
            <b/>
            <sz val="9"/>
            <rFont val="Tahoma"/>
            <family val="0"/>
          </rPr>
          <t>DC-Gregory:</t>
        </r>
        <r>
          <rPr>
            <sz val="9"/>
            <rFont val="Tahoma"/>
            <family val="0"/>
          </rPr>
          <t xml:space="preserve">
from 1800 * India 1600/1800 change</t>
        </r>
      </text>
    </comment>
    <comment ref="F17" authorId="0">
      <text>
        <r>
          <rPr>
            <b/>
            <sz val="9"/>
            <rFont val="Tahoma"/>
            <family val="2"/>
          </rPr>
          <t>DC-Gregory:</t>
        </r>
        <r>
          <rPr>
            <sz val="9"/>
            <rFont val="Tahoma"/>
            <family val="2"/>
          </rPr>
          <t xml:space="preserve">
4/5 of 4.5 ruled by the king</t>
        </r>
      </text>
    </comment>
    <comment ref="D18" authorId="0">
      <text>
        <r>
          <rPr>
            <b/>
            <sz val="9"/>
            <rFont val="Tahoma"/>
            <family val="2"/>
          </rPr>
          <t>DC-Gregory:</t>
        </r>
        <r>
          <rPr>
            <sz val="9"/>
            <rFont val="Tahoma"/>
            <family val="2"/>
          </rPr>
          <t xml:space="preserve">
similar to india for se asia</t>
        </r>
      </text>
    </comment>
    <comment ref="E18" authorId="0">
      <text>
        <r>
          <rPr>
            <b/>
            <sz val="9"/>
            <rFont val="Tahoma"/>
            <family val="0"/>
          </rPr>
          <t>DC-Gregory:</t>
        </r>
        <r>
          <rPr>
            <sz val="9"/>
            <rFont val="Tahoma"/>
            <family val="0"/>
          </rPr>
          <t xml:space="preserve">
Average of Bangladesh &amp; Burma/Myanmar values</t>
        </r>
      </text>
    </comment>
    <comment ref="F18" authorId="0">
      <text>
        <r>
          <rPr>
            <b/>
            <sz val="9"/>
            <rFont val="Tahoma"/>
            <family val="0"/>
          </rPr>
          <t>DC-Gregory:</t>
        </r>
        <r>
          <rPr>
            <sz val="9"/>
            <rFont val="Tahoma"/>
            <family val="0"/>
          </rPr>
          <t xml:space="preserve">
Rakhine state of Burma + Chittagong district of Banglasesh</t>
        </r>
      </text>
    </comment>
    <comment ref="D19" authorId="0">
      <text>
        <r>
          <rPr>
            <b/>
            <sz val="9"/>
            <rFont val="Tahoma"/>
            <family val="2"/>
          </rPr>
          <t>DC-Gregory:</t>
        </r>
        <r>
          <rPr>
            <sz val="9"/>
            <rFont val="Tahoma"/>
            <family val="2"/>
          </rPr>
          <t xml:space="preserve">
similar to india for se asia</t>
        </r>
      </text>
    </comment>
    <comment ref="E19" authorId="0">
      <text>
        <r>
          <rPr>
            <b/>
            <sz val="9"/>
            <rFont val="Tahoma"/>
            <family val="0"/>
          </rPr>
          <t>DC-Gregory:</t>
        </r>
        <r>
          <rPr>
            <sz val="9"/>
            <rFont val="Tahoma"/>
            <family val="0"/>
          </rPr>
          <t xml:space="preserve">
from 1800</t>
        </r>
      </text>
    </comment>
    <comment ref="E20" authorId="0">
      <text>
        <r>
          <rPr>
            <b/>
            <sz val="9"/>
            <rFont val="Tahoma"/>
            <family val="0"/>
          </rPr>
          <t>DC-Gregory:</t>
        </r>
        <r>
          <rPr>
            <sz val="9"/>
            <rFont val="Tahoma"/>
            <family val="0"/>
          </rPr>
          <t xml:space="preserve">
from 1800 with no east asia 1600/1800 change in horiz file</t>
        </r>
      </text>
    </comment>
    <comment ref="E22" authorId="0">
      <text>
        <r>
          <rPr>
            <b/>
            <sz val="9"/>
            <rFont val="Tahoma"/>
            <family val="0"/>
          </rPr>
          <t>DC-Gregory:</t>
        </r>
        <r>
          <rPr>
            <sz val="9"/>
            <rFont val="Tahoma"/>
            <family val="0"/>
          </rPr>
          <t xml:space="preserve">
from 1800</t>
        </r>
      </text>
    </comment>
    <comment ref="F22" authorId="0">
      <text>
        <r>
          <rPr>
            <b/>
            <sz val="9"/>
            <rFont val="Tahoma"/>
            <family val="0"/>
          </rPr>
          <t>DC-Gregory:</t>
        </r>
        <r>
          <rPr>
            <sz val="9"/>
            <rFont val="Tahoma"/>
            <family val="0"/>
          </rPr>
          <t xml:space="preserve">
Atlas of world pop: 3.5m Sahel x 1/2 portion in Chad in 1900 + simiilar part in Niger</t>
        </r>
      </text>
    </comment>
    <comment ref="E23" authorId="0">
      <text>
        <r>
          <rPr>
            <b/>
            <sz val="9"/>
            <rFont val="Tahoma"/>
            <family val="0"/>
          </rPr>
          <t>DC-Gregory:</t>
        </r>
        <r>
          <rPr>
            <sz val="9"/>
            <rFont val="Tahoma"/>
            <family val="0"/>
          </rPr>
          <t xml:space="preserve">
from 1800</t>
        </r>
      </text>
    </comment>
    <comment ref="F23" authorId="0">
      <text>
        <r>
          <rPr>
            <b/>
            <sz val="9"/>
            <rFont val="Tahoma"/>
            <family val="0"/>
          </rPr>
          <t>DC-Gregory:</t>
        </r>
        <r>
          <rPr>
            <sz val="9"/>
            <rFont val="Tahoma"/>
            <family val="0"/>
          </rPr>
          <t xml:space="preserve">
Bornu state is 1.118/19.928 of nigeria poplulstat.info
x nigeria share of w africa atla of world pop.</t>
        </r>
      </text>
    </comment>
    <comment ref="E24" authorId="0">
      <text>
        <r>
          <rPr>
            <b/>
            <sz val="9"/>
            <rFont val="Tahoma"/>
            <family val="0"/>
          </rPr>
          <t>DC-Gregory:</t>
        </r>
        <r>
          <rPr>
            <sz val="9"/>
            <rFont val="Tahoma"/>
            <family val="0"/>
          </rPr>
          <t xml:space="preserve">
from 1800 * latin america 1600/1800 change in horiz file</t>
        </r>
      </text>
    </comment>
    <comment ref="F25" authorId="0">
      <text>
        <r>
          <rPr>
            <b/>
            <sz val="9"/>
            <rFont val="Tahoma"/>
            <family val="2"/>
          </rPr>
          <t>DC-Gregory:</t>
        </r>
        <r>
          <rPr>
            <sz val="9"/>
            <rFont val="Tahoma"/>
            <family val="2"/>
          </rPr>
          <t xml:space="preserve">
Ming Empire only</t>
        </r>
      </text>
    </comment>
    <comment ref="D26" authorId="0">
      <text>
        <r>
          <rPr>
            <b/>
            <sz val="9"/>
            <rFont val="Tahoma"/>
            <family val="2"/>
          </rPr>
          <t>DC-Gregory:</t>
        </r>
        <r>
          <rPr>
            <sz val="9"/>
            <rFont val="Tahoma"/>
            <family val="2"/>
          </rPr>
          <t xml:space="preserve">
similar to india for se asia</t>
        </r>
      </text>
    </comment>
    <comment ref="D27" authorId="0">
      <text>
        <r>
          <rPr>
            <b/>
            <sz val="9"/>
            <rFont val="Tahoma"/>
            <family val="0"/>
          </rPr>
          <t>DC-Gregory:</t>
        </r>
        <r>
          <rPr>
            <sz val="9"/>
            <rFont val="Tahoma"/>
            <family val="0"/>
          </rPr>
          <t xml:space="preserve">
</t>
        </r>
      </text>
    </comment>
    <comment ref="E27" authorId="0">
      <text>
        <r>
          <rPr>
            <b/>
            <sz val="9"/>
            <rFont val="Tahoma"/>
            <family val="0"/>
          </rPr>
          <t>DC-Gregory:</t>
        </r>
        <r>
          <rPr>
            <sz val="9"/>
            <rFont val="Tahoma"/>
            <family val="0"/>
          </rPr>
          <t xml:space="preserve">
from 1800</t>
        </r>
      </text>
    </comment>
    <comment ref="F27" authorId="0">
      <text>
        <r>
          <rPr>
            <b/>
            <sz val="9"/>
            <rFont val="Tahoma"/>
            <family val="0"/>
          </rPr>
          <t>DC-Gregory:</t>
        </r>
        <r>
          <rPr>
            <sz val="9"/>
            <rFont val="Tahoma"/>
            <family val="0"/>
          </rPr>
          <t xml:space="preserve">
Congo pop is =8/15*8.5 Atas of world pop. Lunda was half of Katanga prov.
Populstat.info</t>
        </r>
      </text>
    </comment>
    <comment ref="E28" authorId="0">
      <text>
        <r>
          <rPr>
            <b/>
            <sz val="9"/>
            <rFont val="Tahoma"/>
            <family val="0"/>
          </rPr>
          <t>DC-Gregory:</t>
        </r>
        <r>
          <rPr>
            <sz val="9"/>
            <rFont val="Tahoma"/>
            <family val="0"/>
          </rPr>
          <t xml:space="preserve">
from 1800 * latin america 1600/1800 change in horiz file</t>
        </r>
      </text>
    </comment>
    <comment ref="A29" authorId="0">
      <text>
        <r>
          <rPr>
            <b/>
            <sz val="9"/>
            <rFont val="Tahoma"/>
            <family val="2"/>
          </rPr>
          <t>DC-Gregory:</t>
        </r>
        <r>
          <rPr>
            <sz val="9"/>
            <rFont val="Tahoma"/>
            <family val="2"/>
          </rPr>
          <t xml:space="preserve">
Guatamala .9
El Salvador .4
Hondoras  .4
Nicaragua  .3
</t>
        </r>
      </text>
    </comment>
    <comment ref="E29" authorId="0">
      <text>
        <r>
          <rPr>
            <b/>
            <sz val="9"/>
            <rFont val="Tahoma"/>
            <family val="0"/>
          </rPr>
          <t>DC-Gregory:</t>
        </r>
        <r>
          <rPr>
            <sz val="9"/>
            <rFont val="Tahoma"/>
            <family val="0"/>
          </rPr>
          <t xml:space="preserve">
from 1800 * latin america 1600/1800 change in horiz file</t>
        </r>
      </text>
    </comment>
    <comment ref="E30" authorId="0">
      <text>
        <r>
          <rPr>
            <b/>
            <sz val="9"/>
            <rFont val="Tahoma"/>
            <family val="0"/>
          </rPr>
          <t>DC-Gregory:</t>
        </r>
        <r>
          <rPr>
            <sz val="9"/>
            <rFont val="Tahoma"/>
            <family val="0"/>
          </rPr>
          <t xml:space="preserve">
from 1800 * latin america 1600/1800 change in horiz file</t>
        </r>
      </text>
    </comment>
    <comment ref="E31" authorId="0">
      <text>
        <r>
          <rPr>
            <b/>
            <sz val="9"/>
            <rFont val="Tahoma"/>
            <family val="0"/>
          </rPr>
          <t>DC-Gregory:</t>
        </r>
        <r>
          <rPr>
            <sz val="9"/>
            <rFont val="Tahoma"/>
            <family val="0"/>
          </rPr>
          <t xml:space="preserve">
from 1800 * turkey 1600/1800 change in horiz file</t>
        </r>
      </text>
    </comment>
    <comment ref="E32" authorId="0">
      <text>
        <r>
          <rPr>
            <b/>
            <sz val="9"/>
            <rFont val="Tahoma"/>
            <family val="0"/>
          </rPr>
          <t>DC-Gregory:</t>
        </r>
        <r>
          <rPr>
            <sz val="9"/>
            <rFont val="Tahoma"/>
            <family val="0"/>
          </rPr>
          <t xml:space="preserve">
from 1800 average of czech &amp; slovak rep * east europe 1600/1800 change in horiz file</t>
        </r>
      </text>
    </comment>
    <comment ref="E33" authorId="0">
      <text>
        <r>
          <rPr>
            <b/>
            <sz val="9"/>
            <rFont val="Tahoma"/>
            <family val="0"/>
          </rPr>
          <t>DC-Gregory:</t>
        </r>
        <r>
          <rPr>
            <sz val="9"/>
            <rFont val="Tahoma"/>
            <family val="0"/>
          </rPr>
          <t xml:space="preserve">
from 1800 * denmark 1600/1800 change in horiz file</t>
        </r>
      </text>
    </comment>
    <comment ref="F33" authorId="0">
      <text>
        <r>
          <rPr>
            <b/>
            <sz val="9"/>
            <rFont val="Tahoma"/>
            <family val="2"/>
          </rPr>
          <t>DC-Gregory:</t>
        </r>
        <r>
          <rPr>
            <sz val="9"/>
            <rFont val="Tahoma"/>
            <family val="2"/>
          </rPr>
          <t xml:space="preserve">
plus 0.2m from Sweden</t>
        </r>
      </text>
    </comment>
    <comment ref="E35" authorId="0">
      <text>
        <r>
          <rPr>
            <b/>
            <sz val="9"/>
            <rFont val="Tahoma"/>
            <family val="0"/>
          </rPr>
          <t>DC-Gregory:</t>
        </r>
        <r>
          <rPr>
            <sz val="9"/>
            <rFont val="Tahoma"/>
            <family val="0"/>
          </rPr>
          <t xml:space="preserve">
from 1800 * latin america 1600/1800 change in horiz file</t>
        </r>
      </text>
    </comment>
    <comment ref="E36" authorId="0">
      <text>
        <r>
          <rPr>
            <b/>
            <sz val="9"/>
            <rFont val="Tahoma"/>
            <family val="0"/>
          </rPr>
          <t>DC-Gregory:</t>
        </r>
        <r>
          <rPr>
            <sz val="9"/>
            <rFont val="Tahoma"/>
            <family val="0"/>
          </rPr>
          <t xml:space="preserve">
from 1800 * latin america 1600/1800 change in horiz file</t>
        </r>
      </text>
    </comment>
    <comment ref="E37" authorId="0">
      <text>
        <r>
          <rPr>
            <b/>
            <sz val="9"/>
            <rFont val="Tahoma"/>
            <family val="0"/>
          </rPr>
          <t>DC-Gregory:</t>
        </r>
        <r>
          <rPr>
            <sz val="9"/>
            <rFont val="Tahoma"/>
            <family val="0"/>
          </rPr>
          <t xml:space="preserve">
from 1800 * latin america 1600/1800 change in horiz file</t>
        </r>
      </text>
    </comment>
    <comment ref="E39" authorId="0">
      <text>
        <r>
          <rPr>
            <b/>
            <sz val="9"/>
            <rFont val="Tahoma"/>
            <family val="0"/>
          </rPr>
          <t>DC-Gregory:</t>
        </r>
        <r>
          <rPr>
            <sz val="9"/>
            <rFont val="Tahoma"/>
            <family val="0"/>
          </rPr>
          <t xml:space="preserve">
from 1800 * finland 1600/1800 change in horiz file</t>
        </r>
      </text>
    </comment>
    <comment ref="F39" authorId="0">
      <text>
        <r>
          <rPr>
            <b/>
            <sz val="9"/>
            <rFont val="Tahoma"/>
            <family val="2"/>
          </rPr>
          <t>DC-Gregory:</t>
        </r>
        <r>
          <rPr>
            <sz val="9"/>
            <rFont val="Tahoma"/>
            <family val="2"/>
          </rPr>
          <t xml:space="preserve">
http://www.populstat.info: 0.26m for 1550</t>
        </r>
      </text>
    </comment>
    <comment ref="E40" authorId="0">
      <text>
        <r>
          <rPr>
            <b/>
            <sz val="9"/>
            <rFont val="Tahoma"/>
            <family val="0"/>
          </rPr>
          <t>DC-Gregory:</t>
        </r>
        <r>
          <rPr>
            <sz val="9"/>
            <rFont val="Tahoma"/>
            <family val="0"/>
          </rPr>
          <t xml:space="preserve">
use 1800 with no change for Africa</t>
        </r>
      </text>
    </comment>
    <comment ref="E41" authorId="0">
      <text>
        <r>
          <rPr>
            <b/>
            <sz val="9"/>
            <rFont val="Tahoma"/>
            <family val="0"/>
          </rPr>
          <t>DC-Gregory:</t>
        </r>
        <r>
          <rPr>
            <sz val="9"/>
            <rFont val="Tahoma"/>
            <family val="0"/>
          </rPr>
          <t xml:space="preserve">
use 1800 with no change for Africa</t>
        </r>
      </text>
    </comment>
    <comment ref="F41" authorId="0">
      <text>
        <r>
          <rPr>
            <b/>
            <sz val="9"/>
            <rFont val="Tahoma"/>
            <family val="0"/>
          </rPr>
          <t>DC-Gregory:</t>
        </r>
        <r>
          <rPr>
            <sz val="9"/>
            <rFont val="Tahoma"/>
            <family val="0"/>
          </rPr>
          <t xml:space="preserve">
Altas of world pop: Eritrea is 0.1 of Ethiopia 2.25</t>
        </r>
      </text>
    </comment>
    <comment ref="E42" authorId="0">
      <text>
        <r>
          <rPr>
            <b/>
            <sz val="9"/>
            <rFont val="Tahoma"/>
            <family val="0"/>
          </rPr>
          <t>DC-Gregory:</t>
        </r>
        <r>
          <rPr>
            <sz val="9"/>
            <rFont val="Tahoma"/>
            <family val="0"/>
          </rPr>
          <t xml:space="preserve">
from 1800 * finland 1600/1800 change in horiz file</t>
        </r>
      </text>
    </comment>
    <comment ref="E45" authorId="0">
      <text>
        <r>
          <rPr>
            <b/>
            <sz val="9"/>
            <rFont val="Tahoma"/>
            <family val="0"/>
          </rPr>
          <t xml:space="preserve">DC-Gregory:
</t>
        </r>
        <r>
          <rPr>
            <sz val="9"/>
            <rFont val="Tahoma"/>
            <family val="2"/>
          </rPr>
          <t>from 1800 * former USSR 1600/1800 change in horiz file</t>
        </r>
        <r>
          <rPr>
            <sz val="9"/>
            <rFont val="Tahoma"/>
            <family val="0"/>
          </rPr>
          <t xml:space="preserve">
</t>
        </r>
      </text>
    </comment>
    <comment ref="F47" authorId="0">
      <text>
        <r>
          <rPr>
            <b/>
            <sz val="9"/>
            <rFont val="Tahoma"/>
            <family val="0"/>
          </rPr>
          <t>DC-Gregory:</t>
        </r>
        <r>
          <rPr>
            <sz val="9"/>
            <rFont val="Tahoma"/>
            <family val="0"/>
          </rPr>
          <t xml:space="preserve">
includes 1m Poland
0.5 m France</t>
        </r>
      </text>
    </comment>
    <comment ref="E53" authorId="0">
      <text>
        <r>
          <rPr>
            <b/>
            <sz val="9"/>
            <rFont val="Tahoma"/>
            <family val="2"/>
          </rPr>
          <t>DC-Gregory:</t>
        </r>
        <r>
          <rPr>
            <sz val="9"/>
            <rFont val="Tahoma"/>
            <family val="2"/>
          </rPr>
          <t xml:space="preserve">
from 1800 * east european 1600/1800 change in horiz file</t>
        </r>
      </text>
    </comment>
    <comment ref="E56" authorId="0">
      <text>
        <r>
          <rPr>
            <b/>
            <sz val="9"/>
            <rFont val="Tahoma"/>
            <family val="2"/>
          </rPr>
          <t>DC-Gregory:</t>
        </r>
        <r>
          <rPr>
            <sz val="9"/>
            <rFont val="Tahoma"/>
            <family val="2"/>
          </rPr>
          <t xml:space="preserve">
from 1800 * small west european 1600/1800 change in horiz file</t>
        </r>
      </text>
    </comment>
    <comment ref="D65" authorId="0">
      <text>
        <r>
          <rPr>
            <b/>
            <sz val="9"/>
            <rFont val="Tahoma"/>
            <family val="2"/>
          </rPr>
          <t>DC-Gregory:</t>
        </r>
        <r>
          <rPr>
            <sz val="9"/>
            <rFont val="Tahoma"/>
            <family val="2"/>
          </rPr>
          <t xml:space="preserve">
simiilar to India for se asia.</t>
        </r>
      </text>
    </comment>
    <comment ref="E65" authorId="0">
      <text>
        <r>
          <rPr>
            <b/>
            <sz val="9"/>
            <rFont val="Tahoma"/>
            <family val="2"/>
          </rPr>
          <t>DC-Gregory:</t>
        </r>
        <r>
          <rPr>
            <sz val="9"/>
            <rFont val="Tahoma"/>
            <family val="2"/>
          </rPr>
          <t xml:space="preserve">
use 1800 * 1700/1800 change in horiz file.  Assume no growth 1600 to 1700</t>
        </r>
      </text>
    </comment>
    <comment ref="F66" authorId="0">
      <text>
        <r>
          <rPr>
            <b/>
            <sz val="9"/>
            <rFont val="Tahoma"/>
            <family val="0"/>
          </rPr>
          <t>DC-Gregory:</t>
        </r>
        <r>
          <rPr>
            <sz val="9"/>
            <rFont val="Tahoma"/>
            <family val="0"/>
          </rPr>
          <t xml:space="preserve">
Ache + half pop of west sumatra</t>
        </r>
      </text>
    </comment>
    <comment ref="A68" authorId="0">
      <text>
        <r>
          <rPr>
            <b/>
            <sz val="9"/>
            <rFont val="Tahoma"/>
            <family val="0"/>
          </rPr>
          <t>DC-Gregory:</t>
        </r>
        <r>
          <rPr>
            <sz val="9"/>
            <rFont val="Tahoma"/>
            <family val="0"/>
          </rPr>
          <t xml:space="preserve">
Banten ruled over the entire territory of the former kingdom of Sunda, which corresponds to most of current Indonesian province of West Java.</t>
        </r>
      </text>
    </comment>
    <comment ref="F68" authorId="0">
      <text>
        <r>
          <rPr>
            <b/>
            <sz val="9"/>
            <rFont val="Tahoma"/>
            <family val="0"/>
          </rPr>
          <t>DC-Gregory:</t>
        </r>
        <r>
          <rPr>
            <sz val="9"/>
            <rFont val="Tahoma"/>
            <family val="0"/>
          </rPr>
          <t xml:space="preserve">
West Java + Lampung</t>
        </r>
      </text>
    </comment>
    <comment ref="F69" authorId="0">
      <text>
        <r>
          <rPr>
            <b/>
            <sz val="9"/>
            <rFont val="Tahoma"/>
            <family val="0"/>
          </rPr>
          <t>DC-Gregory:</t>
        </r>
        <r>
          <rPr>
            <sz val="9"/>
            <rFont val="Tahoma"/>
            <family val="0"/>
          </rPr>
          <t xml:space="preserve">
West Java + Lampung</t>
        </r>
      </text>
    </comment>
    <comment ref="C71" authorId="0">
      <text>
        <r>
          <rPr>
            <b/>
            <sz val="9"/>
            <rFont val="Tahoma"/>
            <family val="2"/>
          </rPr>
          <t>DC-Gregory:</t>
        </r>
        <r>
          <rPr>
            <sz val="9"/>
            <rFont val="Tahoma"/>
            <family val="2"/>
          </rPr>
          <t xml:space="preserve">
use 1700 value.
Assume no growth 1600 to 1700</t>
        </r>
      </text>
    </comment>
    <comment ref="E71" authorId="0">
      <text>
        <r>
          <rPr>
            <b/>
            <sz val="9"/>
            <rFont val="Tahoma"/>
            <family val="2"/>
          </rPr>
          <t>DC-Gregory:</t>
        </r>
        <r>
          <rPr>
            <sz val="9"/>
            <rFont val="Tahoma"/>
            <family val="2"/>
          </rPr>
          <t xml:space="preserve">
use 1800 and no change in horiz file.  Assume no growth 1600 to 1800</t>
        </r>
      </text>
    </comment>
    <comment ref="C72" authorId="0">
      <text>
        <r>
          <rPr>
            <b/>
            <sz val="9"/>
            <rFont val="Tahoma"/>
            <family val="2"/>
          </rPr>
          <t>DC-Gregory:</t>
        </r>
        <r>
          <rPr>
            <sz val="9"/>
            <rFont val="Tahoma"/>
            <family val="2"/>
          </rPr>
          <t xml:space="preserve">
use 1700 value.
Assume no growth 1600 to 1700</t>
        </r>
      </text>
    </comment>
    <comment ref="E72" authorId="0">
      <text>
        <r>
          <rPr>
            <b/>
            <sz val="9"/>
            <rFont val="Tahoma"/>
            <family val="2"/>
          </rPr>
          <t>DC-Gregory:</t>
        </r>
        <r>
          <rPr>
            <sz val="9"/>
            <rFont val="Tahoma"/>
            <family val="2"/>
          </rPr>
          <t xml:space="preserve">
use 1800 * 1700/1800 change in horiz file.  Assume no growth 1600 to 1700</t>
        </r>
      </text>
    </comment>
    <comment ref="E74" authorId="0">
      <text>
        <r>
          <rPr>
            <b/>
            <sz val="9"/>
            <rFont val="Tahoma"/>
            <family val="2"/>
          </rPr>
          <t>DC-Gregory:</t>
        </r>
        <r>
          <rPr>
            <sz val="9"/>
            <rFont val="Tahoma"/>
            <family val="2"/>
          </rPr>
          <t xml:space="preserve">
from 1800 * west asia 1600/1800 change in horiz file</t>
        </r>
      </text>
    </comment>
    <comment ref="F76" authorId="0">
      <text>
        <r>
          <rPr>
            <b/>
            <sz val="9"/>
            <rFont val="Tahoma"/>
            <family val="0"/>
          </rPr>
          <t>DC-Gregory:</t>
        </r>
        <r>
          <rPr>
            <sz val="9"/>
            <rFont val="Tahoma"/>
            <family val="0"/>
          </rPr>
          <t xml:space="preserve">
assume 1m in Italy; .25m in France</t>
        </r>
      </text>
    </comment>
    <comment ref="F89" authorId="0">
      <text>
        <r>
          <rPr>
            <b/>
            <sz val="9"/>
            <rFont val="Tahoma"/>
            <family val="2"/>
          </rPr>
          <t>DC-Gregory:</t>
        </r>
        <r>
          <rPr>
            <sz val="9"/>
            <rFont val="Tahoma"/>
            <family val="2"/>
          </rPr>
          <t xml:space="preserve">
Atlas of pop: 22m
History of world gdp: 18.5m</t>
        </r>
      </text>
    </comment>
    <comment ref="E90" authorId="0">
      <text>
        <r>
          <rPr>
            <b/>
            <sz val="9"/>
            <rFont val="Tahoma"/>
            <family val="2"/>
          </rPr>
          <t>DC-Gregory:</t>
        </r>
        <r>
          <rPr>
            <sz val="9"/>
            <rFont val="Tahoma"/>
            <family val="2"/>
          </rPr>
          <t xml:space="preserve">
from 1800 * west asia 1600/1800 change in horiz file</t>
        </r>
      </text>
    </comment>
    <comment ref="E91" authorId="0">
      <text>
        <r>
          <rPr>
            <b/>
            <sz val="9"/>
            <rFont val="Tahoma"/>
            <family val="2"/>
          </rPr>
          <t>DC-Gregory:</t>
        </r>
        <r>
          <rPr>
            <sz val="9"/>
            <rFont val="Tahoma"/>
            <family val="2"/>
          </rPr>
          <t xml:space="preserve">
from 1800 * former USSR 1600/1800 change in horiz file</t>
        </r>
      </text>
    </comment>
    <comment ref="F91" authorId="0">
      <text>
        <r>
          <rPr>
            <b/>
            <sz val="9"/>
            <rFont val="Tahoma"/>
            <family val="2"/>
          </rPr>
          <t>DC-Gregory:</t>
        </r>
        <r>
          <rPr>
            <sz val="9"/>
            <rFont val="Tahoma"/>
            <family val="2"/>
          </rPr>
          <t xml:space="preserve">
pop 2.5m in 1800</t>
        </r>
      </text>
    </comment>
    <comment ref="E92" authorId="0">
      <text>
        <r>
          <rPr>
            <b/>
            <sz val="9"/>
            <rFont val="Tahoma"/>
            <family val="2"/>
          </rPr>
          <t>DC-Gregory:</t>
        </r>
        <r>
          <rPr>
            <sz val="9"/>
            <rFont val="Tahoma"/>
            <family val="2"/>
          </rPr>
          <t xml:space="preserve">
from 1800 uzbekistan * former USSR 1600/1800 change in horiz file</t>
        </r>
      </text>
    </comment>
    <comment ref="F92" authorId="0">
      <text>
        <r>
          <rPr>
            <b/>
            <sz val="9"/>
            <rFont val="Tahoma"/>
            <family val="2"/>
          </rPr>
          <t>DC-Gregory:</t>
        </r>
        <r>
          <rPr>
            <sz val="9"/>
            <rFont val="Tahoma"/>
            <family val="2"/>
          </rPr>
          <t xml:space="preserve">
pop 2m in 1902</t>
        </r>
      </text>
    </comment>
    <comment ref="E94" authorId="0">
      <text>
        <r>
          <rPr>
            <b/>
            <sz val="9"/>
            <rFont val="Tahoma"/>
            <family val="0"/>
          </rPr>
          <t>DC-Gregory:</t>
        </r>
        <r>
          <rPr>
            <sz val="9"/>
            <rFont val="Tahoma"/>
            <family val="0"/>
          </rPr>
          <t xml:space="preserve">
from 1800 with no east asia 1600/1800 change in horiz file</t>
        </r>
      </text>
    </comment>
    <comment ref="E95" authorId="0">
      <text>
        <r>
          <rPr>
            <b/>
            <sz val="9"/>
            <rFont val="Tahoma"/>
            <family val="0"/>
          </rPr>
          <t>DC-Gregory:</t>
        </r>
        <r>
          <rPr>
            <sz val="9"/>
            <rFont val="Tahoma"/>
            <family val="0"/>
          </rPr>
          <t xml:space="preserve">
from 1800 with no east asia 1600/1800 change in horiz file</t>
        </r>
      </text>
    </comment>
    <comment ref="E96" authorId="0">
      <text>
        <r>
          <rPr>
            <b/>
            <sz val="9"/>
            <rFont val="Tahoma"/>
            <family val="0"/>
          </rPr>
          <t>DC-Gregory:</t>
        </r>
        <r>
          <rPr>
            <sz val="9"/>
            <rFont val="Tahoma"/>
            <family val="0"/>
          </rPr>
          <t xml:space="preserve">
from 1800 with no east asia 1600/1800 change in horiz file</t>
        </r>
      </text>
    </comment>
    <comment ref="E97" authorId="0">
      <text>
        <r>
          <rPr>
            <b/>
            <sz val="9"/>
            <rFont val="Tahoma"/>
            <family val="2"/>
          </rPr>
          <t>DC-Gregory:</t>
        </r>
        <r>
          <rPr>
            <sz val="9"/>
            <rFont val="Tahoma"/>
            <family val="2"/>
          </rPr>
          <t xml:space="preserve">
from 1800 * west asia 1600/1800 change in horiz file</t>
        </r>
      </text>
    </comment>
    <comment ref="E98" authorId="0">
      <text>
        <r>
          <rPr>
            <b/>
            <sz val="9"/>
            <rFont val="Tahoma"/>
            <family val="0"/>
          </rPr>
          <t>DC-Gregory:</t>
        </r>
        <r>
          <rPr>
            <sz val="9"/>
            <rFont val="Tahoma"/>
            <family val="0"/>
          </rPr>
          <t xml:space="preserve">
use 1800 with no change for Africa</t>
        </r>
      </text>
    </comment>
    <comment ref="E99" authorId="0">
      <text>
        <r>
          <rPr>
            <b/>
            <sz val="9"/>
            <rFont val="Tahoma"/>
            <family val="0"/>
          </rPr>
          <t>DC-Gregory:</t>
        </r>
        <r>
          <rPr>
            <sz val="9"/>
            <rFont val="Tahoma"/>
            <family val="0"/>
          </rPr>
          <t xml:space="preserve">
from 1800 with no east asia 1600/1800 change in horiz file</t>
        </r>
      </text>
    </comment>
    <comment ref="A100" authorId="0">
      <text>
        <r>
          <rPr>
            <b/>
            <sz val="9"/>
            <rFont val="Tahoma"/>
            <family val="0"/>
          </rPr>
          <t>DC-Gregory:</t>
        </r>
        <r>
          <rPr>
            <sz val="9"/>
            <rFont val="Tahoma"/>
            <family val="0"/>
          </rPr>
          <t xml:space="preserve">
southern Thai provinces of Pattani, Yala (Jala), Narathiwat (Menara), and parts of Songkhla (Singgora).
</t>
        </r>
      </text>
    </comment>
    <comment ref="E100" authorId="0">
      <text>
        <r>
          <rPr>
            <b/>
            <sz val="9"/>
            <rFont val="Tahoma"/>
            <family val="0"/>
          </rPr>
          <t>DC-Gregory:</t>
        </r>
        <r>
          <rPr>
            <sz val="9"/>
            <rFont val="Tahoma"/>
            <family val="0"/>
          </rPr>
          <t xml:space="preserve">
use Malaysia (higher value)for southern most Thai area in golder age of Malaya</t>
        </r>
      </text>
    </comment>
    <comment ref="D102" authorId="0">
      <text>
        <r>
          <rPr>
            <b/>
            <sz val="9"/>
            <rFont val="Tahoma"/>
            <family val="2"/>
          </rPr>
          <t>DC-Gregory:</t>
        </r>
        <r>
          <rPr>
            <sz val="9"/>
            <rFont val="Tahoma"/>
            <family val="2"/>
          </rPr>
          <t xml:space="preserve">
similar to india for se asia</t>
        </r>
      </text>
    </comment>
    <comment ref="E103" authorId="0">
      <text>
        <r>
          <rPr>
            <b/>
            <sz val="9"/>
            <rFont val="Tahoma"/>
            <family val="0"/>
          </rPr>
          <t>DC-Gregory:</t>
        </r>
        <r>
          <rPr>
            <sz val="9"/>
            <rFont val="Tahoma"/>
            <family val="0"/>
          </rPr>
          <t xml:space="preserve">
use 1800 with no change for Africa</t>
        </r>
      </text>
    </comment>
    <comment ref="F103" authorId="0">
      <text>
        <r>
          <rPr>
            <b/>
            <sz val="9"/>
            <rFont val="Tahoma"/>
            <family val="0"/>
          </rPr>
          <t>DC-Gregory:</t>
        </r>
        <r>
          <rPr>
            <sz val="9"/>
            <rFont val="Tahoma"/>
            <family val="0"/>
          </rPr>
          <t xml:space="preserve">
Malawi .3 of .44
Mozambique: half Teta state of 1.25
Zambia: Eastern state of .44 </t>
        </r>
      </text>
    </comment>
    <comment ref="E104" authorId="0">
      <text>
        <r>
          <rPr>
            <b/>
            <sz val="9"/>
            <rFont val="Tahoma"/>
            <family val="0"/>
          </rPr>
          <t>DC-Gregory:</t>
        </r>
        <r>
          <rPr>
            <sz val="9"/>
            <rFont val="Tahoma"/>
            <family val="0"/>
          </rPr>
          <t xml:space="preserve">
from 1800 * mexico 1600/1800 change in horiz file</t>
        </r>
      </text>
    </comment>
    <comment ref="F107" authorId="0">
      <text>
        <r>
          <rPr>
            <b/>
            <sz val="9"/>
            <rFont val="Tahoma"/>
            <family val="0"/>
          </rPr>
          <t>DC-Gregory:</t>
        </r>
        <r>
          <rPr>
            <sz val="9"/>
            <rFont val="Tahoma"/>
            <family val="0"/>
          </rPr>
          <t xml:space="preserve">
Atlas of pop: 3.5m Sehel
x portion in Mali in 1900
1/4 in north part.</t>
        </r>
      </text>
    </comment>
    <comment ref="F108" authorId="0">
      <text>
        <r>
          <rPr>
            <b/>
            <sz val="9"/>
            <rFont val="Tahoma"/>
            <family val="0"/>
          </rPr>
          <t>DC-Gregory:</t>
        </r>
        <r>
          <rPr>
            <sz val="9"/>
            <rFont val="Tahoma"/>
            <family val="0"/>
          </rPr>
          <t xml:space="preserve">
Sofala + Half Zambézia + half Teta of Mazambique 1.25m Atlas of world pop history</t>
        </r>
      </text>
    </comment>
    <comment ref="D109" authorId="0">
      <text>
        <r>
          <rPr>
            <b/>
            <sz val="9"/>
            <rFont val="Tahoma"/>
            <family val="2"/>
          </rPr>
          <t>DC-Gregory:</t>
        </r>
        <r>
          <rPr>
            <sz val="9"/>
            <rFont val="Tahoma"/>
            <family val="2"/>
          </rPr>
          <t xml:space="preserve">
simiilar to India for se asia.</t>
        </r>
      </text>
    </comment>
    <comment ref="E109" authorId="0">
      <text>
        <r>
          <rPr>
            <b/>
            <sz val="9"/>
            <rFont val="Tahoma"/>
            <family val="0"/>
          </rPr>
          <t>DC-Gregory:</t>
        </r>
        <r>
          <rPr>
            <sz val="9"/>
            <rFont val="Tahoma"/>
            <family val="0"/>
          </rPr>
          <t xml:space="preserve">
from 1800 with no east asia 1600/1800 change in horiz file</t>
        </r>
      </text>
    </comment>
    <comment ref="E111" authorId="0">
      <text>
        <r>
          <rPr>
            <b/>
            <sz val="9"/>
            <rFont val="Tahoma"/>
            <family val="0"/>
          </rPr>
          <t>DC-Gregory:</t>
        </r>
        <r>
          <rPr>
            <sz val="9"/>
            <rFont val="Tahoma"/>
            <family val="0"/>
          </rPr>
          <t xml:space="preserve">
use 1800 with no change for Africa</t>
        </r>
      </text>
    </comment>
    <comment ref="F111" authorId="0">
      <text>
        <r>
          <rPr>
            <b/>
            <sz val="9"/>
            <rFont val="Tahoma"/>
            <family val="0"/>
          </rPr>
          <t xml:space="preserve">DC-Gregory: </t>
        </r>
        <r>
          <rPr>
            <sz val="9"/>
            <rFont val="Tahoma"/>
            <family val="0"/>
          </rPr>
          <t xml:space="preserve">
Benin+Delta+Ondo+Lagos part of nigeria poplulstat.info
x nigeria share of w africa atla of world pop.</t>
        </r>
      </text>
    </comment>
    <comment ref="E112" authorId="0">
      <text>
        <r>
          <rPr>
            <b/>
            <sz val="9"/>
            <rFont val="Tahoma"/>
            <family val="0"/>
          </rPr>
          <t>DC-Gregory:</t>
        </r>
        <r>
          <rPr>
            <sz val="9"/>
            <rFont val="Tahoma"/>
            <family val="0"/>
          </rPr>
          <t xml:space="preserve">
from 1800 * norway 1600/1800 change in horiz file</t>
        </r>
      </text>
    </comment>
    <comment ref="F114" authorId="0">
      <text>
        <r>
          <rPr>
            <b/>
            <sz val="9"/>
            <rFont val="Tahoma"/>
            <family val="2"/>
          </rPr>
          <t>DC-Gregory:</t>
        </r>
        <r>
          <rPr>
            <sz val="9"/>
            <rFont val="Tahoma"/>
            <family val="2"/>
          </rPr>
          <t xml:space="preserve">
Map atlas: 27m</t>
        </r>
      </text>
    </comment>
    <comment ref="F115" authorId="0">
      <text>
        <r>
          <rPr>
            <b/>
            <sz val="9"/>
            <rFont val="Tahoma"/>
            <family val="2"/>
          </rPr>
          <t>DC-Gregory:</t>
        </r>
        <r>
          <rPr>
            <sz val="9"/>
            <rFont val="Tahoma"/>
            <family val="2"/>
          </rPr>
          <t xml:space="preserve">
included in Indai</t>
        </r>
      </text>
    </comment>
    <comment ref="F116" authorId="0">
      <text>
        <r>
          <rPr>
            <b/>
            <sz val="9"/>
            <rFont val="Tahoma"/>
            <family val="2"/>
          </rPr>
          <t>DC-Gregory:</t>
        </r>
        <r>
          <rPr>
            <sz val="9"/>
            <rFont val="Tahoma"/>
            <family val="2"/>
          </rPr>
          <t xml:space="preserve">
included in India</t>
        </r>
      </text>
    </comment>
    <comment ref="E117" authorId="0">
      <text>
        <r>
          <rPr>
            <b/>
            <sz val="9"/>
            <rFont val="Tahoma"/>
            <family val="0"/>
          </rPr>
          <t>DC-Gregory:</t>
        </r>
        <r>
          <rPr>
            <sz val="9"/>
            <rFont val="Tahoma"/>
            <family val="0"/>
          </rPr>
          <t xml:space="preserve">
from 1800 * latin america 1600/1800 change in horiz file</t>
        </r>
      </text>
    </comment>
    <comment ref="E118" authorId="0">
      <text>
        <r>
          <rPr>
            <b/>
            <sz val="9"/>
            <rFont val="Tahoma"/>
            <family val="0"/>
          </rPr>
          <t>DC-Gregory:</t>
        </r>
        <r>
          <rPr>
            <sz val="9"/>
            <rFont val="Tahoma"/>
            <family val="0"/>
          </rPr>
          <t xml:space="preserve">
from 1800 * latin america 1600/1800 change in horiz file</t>
        </r>
      </text>
    </comment>
    <comment ref="E119" authorId="0">
      <text>
        <r>
          <rPr>
            <b/>
            <sz val="9"/>
            <rFont val="Tahoma"/>
            <family val="0"/>
          </rPr>
          <t>DC-Gregory:</t>
        </r>
        <r>
          <rPr>
            <sz val="9"/>
            <rFont val="Tahoma"/>
            <family val="0"/>
          </rPr>
          <t xml:space="preserve">
from 1800 * latin america 1600/1800 change in horiz file</t>
        </r>
      </text>
    </comment>
    <comment ref="F120" authorId="0">
      <text>
        <r>
          <rPr>
            <b/>
            <sz val="9"/>
            <rFont val="Tahoma"/>
            <family val="2"/>
          </rPr>
          <t xml:space="preserve">DC-Gregory: </t>
        </r>
        <r>
          <rPr>
            <sz val="9"/>
            <rFont val="Tahoma"/>
            <family val="2"/>
          </rPr>
          <t>wiki/List_of_countries_by_population_in_1600: 4.69m
4 from totals of Atlas of world pop history.</t>
        </r>
      </text>
    </comment>
    <comment ref="D121" authorId="0">
      <text>
        <r>
          <rPr>
            <b/>
            <sz val="9"/>
            <rFont val="Tahoma"/>
            <family val="2"/>
          </rPr>
          <t>DC-Gregory:</t>
        </r>
        <r>
          <rPr>
            <sz val="9"/>
            <rFont val="Tahoma"/>
            <family val="2"/>
          </rPr>
          <t xml:space="preserve">
simiilar to India for se asia.</t>
        </r>
      </text>
    </comment>
    <comment ref="E121" authorId="0">
      <text>
        <r>
          <rPr>
            <b/>
            <sz val="9"/>
            <rFont val="Tahoma"/>
            <family val="0"/>
          </rPr>
          <t>DC-Gregory:</t>
        </r>
        <r>
          <rPr>
            <sz val="9"/>
            <rFont val="Tahoma"/>
            <family val="0"/>
          </rPr>
          <t xml:space="preserve">
from 1800 with no east asia 1600/1800 change in horiz file</t>
        </r>
      </text>
    </comment>
    <comment ref="F121" authorId="0">
      <text>
        <r>
          <rPr>
            <b/>
            <sz val="9"/>
            <rFont val="Tahoma"/>
            <family val="2"/>
          </rPr>
          <t>DC-Gregory:</t>
        </r>
        <r>
          <rPr>
            <sz val="9"/>
            <rFont val="Tahoma"/>
            <family val="2"/>
          </rPr>
          <t xml:space="preserve">
wiki/List_of_countries_by_population_in_1600
for northern part of 0.8</t>
        </r>
      </text>
    </comment>
    <comment ref="A123" authorId="0">
      <text>
        <r>
          <rPr>
            <b/>
            <sz val="9"/>
            <rFont val="Tahoma"/>
            <family val="0"/>
          </rPr>
          <t>DC-Gregory:</t>
        </r>
        <r>
          <rPr>
            <sz val="9"/>
            <rFont val="Tahoma"/>
            <family val="0"/>
          </rPr>
          <t xml:space="preserve">
The Polish-Lithuania had  (5m Ruthenians, 4.5m Poles, 0.75m Lithuanians, 0.75m Prussians, 0.5m Jews and 0.5m Livionians (Latvians))</t>
        </r>
      </text>
    </comment>
    <comment ref="F123" authorId="0">
      <text>
        <r>
          <rPr>
            <b/>
            <sz val="9"/>
            <rFont val="Tahoma"/>
            <family val="2"/>
          </rPr>
          <t>DC-Gregory:</t>
        </r>
        <r>
          <rPr>
            <sz val="9"/>
            <rFont val="Tahoma"/>
            <family val="2"/>
          </rPr>
          <t xml:space="preserve">
Atlas of pop hist: 9.5m
wiki/List_of_countries_by_population_in_1600: 7.95m</t>
        </r>
      </text>
    </comment>
    <comment ref="F124" authorId="0">
      <text>
        <r>
          <rPr>
            <b/>
            <sz val="9"/>
            <rFont val="Tahoma"/>
            <family val="0"/>
          </rPr>
          <t>DC-Gregory:</t>
        </r>
        <r>
          <rPr>
            <sz val="9"/>
            <rFont val="Tahoma"/>
            <family val="0"/>
          </rPr>
          <t xml:space="preserve">
3.5 m of 5m in Poland</t>
        </r>
      </text>
    </comment>
    <comment ref="E125" authorId="0">
      <text>
        <r>
          <rPr>
            <b/>
            <sz val="9"/>
            <rFont val="Tahoma"/>
            <family val="0"/>
          </rPr>
          <t>DC-Gregory:</t>
        </r>
        <r>
          <rPr>
            <sz val="9"/>
            <rFont val="Tahoma"/>
            <family val="0"/>
          </rPr>
          <t xml:space="preserve">
from 1800 * former USSR 1600/1800 change in horiz file</t>
        </r>
      </text>
    </comment>
    <comment ref="E126" authorId="0">
      <text>
        <r>
          <rPr>
            <b/>
            <sz val="9"/>
            <rFont val="Tahoma"/>
            <family val="0"/>
          </rPr>
          <t>DC-Gregory:</t>
        </r>
        <r>
          <rPr>
            <sz val="9"/>
            <rFont val="Tahoma"/>
            <family val="0"/>
          </rPr>
          <t xml:space="preserve">
from 1800 * former USSR 1600/1800 change in horiz file</t>
        </r>
      </text>
    </comment>
    <comment ref="E127" authorId="0">
      <text>
        <r>
          <rPr>
            <b/>
            <sz val="9"/>
            <rFont val="Tahoma"/>
            <family val="0"/>
          </rPr>
          <t>DC-Gregory:</t>
        </r>
        <r>
          <rPr>
            <sz val="9"/>
            <rFont val="Tahoma"/>
            <family val="0"/>
          </rPr>
          <t xml:space="preserve">
from 1800 * former USSR 1600/1800 change in horiz file</t>
        </r>
      </text>
    </comment>
    <comment ref="E128" authorId="0">
      <text>
        <r>
          <rPr>
            <b/>
            <sz val="9"/>
            <rFont val="Tahoma"/>
            <family val="0"/>
          </rPr>
          <t>DC-Gregory:</t>
        </r>
        <r>
          <rPr>
            <sz val="9"/>
            <rFont val="Tahoma"/>
            <family val="0"/>
          </rPr>
          <t xml:space="preserve">
from 1800 * former USSR 1600/1800 change in horiz file</t>
        </r>
      </text>
    </comment>
    <comment ref="E129" authorId="0">
      <text>
        <r>
          <rPr>
            <b/>
            <sz val="9"/>
            <rFont val="Tahoma"/>
            <family val="0"/>
          </rPr>
          <t>DC-Gregory:</t>
        </r>
        <r>
          <rPr>
            <sz val="9"/>
            <rFont val="Tahoma"/>
            <family val="0"/>
          </rPr>
          <t xml:space="preserve">
from 1800 * former USSR 1600/1800 change in horiz file</t>
        </r>
      </text>
    </comment>
    <comment ref="D130" authorId="0">
      <text>
        <r>
          <rPr>
            <b/>
            <sz val="9"/>
            <rFont val="Tahoma"/>
            <family val="2"/>
          </rPr>
          <t>DC-Gregory:</t>
        </r>
        <r>
          <rPr>
            <sz val="9"/>
            <rFont val="Tahoma"/>
            <family val="2"/>
          </rPr>
          <t xml:space="preserve">
1700: 1163. * spain 1600/1700 change</t>
        </r>
      </text>
    </comment>
    <comment ref="E130" authorId="0">
      <text>
        <r>
          <rPr>
            <b/>
            <sz val="9"/>
            <rFont val="Tahoma"/>
            <family val="2"/>
          </rPr>
          <t>DC-Gregory:</t>
        </r>
        <r>
          <rPr>
            <sz val="9"/>
            <rFont val="Tahoma"/>
            <family val="2"/>
          </rPr>
          <t xml:space="preserve">
1700: 1163 * portugal 1600/1700 change in horiz file</t>
        </r>
      </text>
    </comment>
    <comment ref="F130" authorId="0">
      <text>
        <r>
          <rPr>
            <b/>
            <sz val="9"/>
            <rFont val="Tahoma"/>
            <family val="2"/>
          </rPr>
          <t>DC-Gregory:</t>
        </r>
        <r>
          <rPr>
            <sz val="9"/>
            <rFont val="Tahoma"/>
            <family val="2"/>
          </rPr>
          <t xml:space="preserve">
history atlas: 1.5
Atlas of pop: 2.0</t>
        </r>
      </text>
    </comment>
    <comment ref="E132" authorId="0">
      <text>
        <r>
          <rPr>
            <b/>
            <sz val="9"/>
            <rFont val="Tahoma"/>
            <family val="2"/>
          </rPr>
          <t>DC-Gregory:</t>
        </r>
        <r>
          <rPr>
            <sz val="9"/>
            <rFont val="Tahoma"/>
            <family val="2"/>
          </rPr>
          <t xml:space="preserve">
from 1800 * east european 1600/1800 change in horiz file</t>
        </r>
      </text>
    </comment>
    <comment ref="F133" authorId="0">
      <text>
        <r>
          <rPr>
            <b/>
            <sz val="9"/>
            <rFont val="Tahoma"/>
            <family val="2"/>
          </rPr>
          <t>DC-Gregory:</t>
        </r>
        <r>
          <rPr>
            <sz val="9"/>
            <rFont val="Tahoma"/>
            <family val="2"/>
          </rPr>
          <t xml:space="preserve">
Atlas of modern history p37:1m
wiki .995 in 1660 
x 2/2.25= .85</t>
        </r>
      </text>
    </comment>
    <comment ref="E135" authorId="0">
      <text>
        <r>
          <rPr>
            <b/>
            <sz val="9"/>
            <rFont val="Tahoma"/>
            <family val="0"/>
          </rPr>
          <t>DC-Gregory:</t>
        </r>
        <r>
          <rPr>
            <sz val="9"/>
            <rFont val="Tahoma"/>
            <family val="0"/>
          </rPr>
          <t xml:space="preserve">
from 1800 * former USSR 1600/1800 change in horiz file</t>
        </r>
      </text>
    </comment>
    <comment ref="F135" authorId="0">
      <text>
        <r>
          <rPr>
            <b/>
            <sz val="9"/>
            <rFont val="Tahoma"/>
            <family val="2"/>
          </rPr>
          <t>DC-Gregory:</t>
        </r>
        <r>
          <rPr>
            <sz val="9"/>
            <rFont val="Tahoma"/>
            <family val="2"/>
          </rPr>
          <t xml:space="preserve">
14.0:wiki/List_of_countries_by_population_in_1600 
10m: Atlas of world pop</t>
        </r>
      </text>
    </comment>
    <comment ref="E136" authorId="0">
      <text>
        <r>
          <rPr>
            <b/>
            <sz val="9"/>
            <rFont val="Tahoma"/>
            <family val="0"/>
          </rPr>
          <t>DC-Gregory:</t>
        </r>
        <r>
          <rPr>
            <sz val="9"/>
            <rFont val="Tahoma"/>
            <family val="0"/>
          </rPr>
          <t xml:space="preserve">
use 1800 with no change for Africa</t>
        </r>
      </text>
    </comment>
    <comment ref="E137" authorId="0">
      <text>
        <r>
          <rPr>
            <b/>
            <sz val="9"/>
            <rFont val="Tahoma"/>
            <family val="2"/>
          </rPr>
          <t>DC-Gregory:</t>
        </r>
        <r>
          <rPr>
            <sz val="9"/>
            <rFont val="Tahoma"/>
            <family val="2"/>
          </rPr>
          <t xml:space="preserve">
from 1800 * west asia 1600/1800 change in horiz file</t>
        </r>
      </text>
    </comment>
    <comment ref="F137" authorId="0">
      <text>
        <r>
          <rPr>
            <sz val="9"/>
            <rFont val="Tahoma"/>
            <family val="2"/>
          </rPr>
          <t>DC-Gregory: 2.1 m in 1820
Coastal part of which was in the Ottoman Emp. Perhaps 0.5m in interior.</t>
        </r>
      </text>
    </comment>
    <comment ref="D141" authorId="0">
      <text>
        <r>
          <rPr>
            <b/>
            <sz val="9"/>
            <rFont val="Tahoma"/>
            <family val="2"/>
          </rPr>
          <t>DC-Gregory:</t>
        </r>
        <r>
          <rPr>
            <sz val="9"/>
            <rFont val="Tahoma"/>
            <family val="2"/>
          </rPr>
          <t xml:space="preserve">
similar to india for se asia</t>
        </r>
      </text>
    </comment>
    <comment ref="E141" authorId="0">
      <text>
        <r>
          <rPr>
            <b/>
            <sz val="9"/>
            <rFont val="Tahoma"/>
            <family val="0"/>
          </rPr>
          <t>DC-Gregory:</t>
        </r>
        <r>
          <rPr>
            <sz val="9"/>
            <rFont val="Tahoma"/>
            <family val="0"/>
          </rPr>
          <t xml:space="preserve">
from 1800 with no east asia 1600/1800 change in horiz file</t>
        </r>
      </text>
    </comment>
    <comment ref="F141" authorId="0">
      <text>
        <r>
          <rPr>
            <b/>
            <sz val="9"/>
            <rFont val="Tahoma"/>
            <family val="2"/>
          </rPr>
          <t>DC-Gregory:</t>
        </r>
        <r>
          <rPr>
            <sz val="9"/>
            <rFont val="Tahoma"/>
            <family val="2"/>
          </rPr>
          <t xml:space="preserve">
Approx half under direct Portugese rule.</t>
        </r>
      </text>
    </comment>
    <comment ref="D142" authorId="0">
      <text>
        <r>
          <rPr>
            <b/>
            <sz val="9"/>
            <rFont val="Tahoma"/>
            <family val="2"/>
          </rPr>
          <t>DC-Gregory:</t>
        </r>
        <r>
          <rPr>
            <sz val="9"/>
            <rFont val="Tahoma"/>
            <family val="2"/>
          </rPr>
          <t xml:space="preserve">
similar to india for se asia</t>
        </r>
      </text>
    </comment>
    <comment ref="E142" authorId="0">
      <text>
        <r>
          <rPr>
            <b/>
            <sz val="9"/>
            <rFont val="Tahoma"/>
            <family val="0"/>
          </rPr>
          <t>DC-Gregory:</t>
        </r>
        <r>
          <rPr>
            <sz val="9"/>
            <rFont val="Tahoma"/>
            <family val="0"/>
          </rPr>
          <t xml:space="preserve">
from 1800 with no east asia 1600/1800 change in horiz file</t>
        </r>
      </text>
    </comment>
    <comment ref="F142" authorId="0">
      <text>
        <r>
          <rPr>
            <b/>
            <sz val="9"/>
            <rFont val="Tahoma"/>
            <family val="2"/>
          </rPr>
          <t>DC-Gregory:</t>
        </r>
        <r>
          <rPr>
            <sz val="9"/>
            <rFont val="Tahoma"/>
            <family val="2"/>
          </rPr>
          <t xml:space="preserve">
Approx half under K. Of Kandy rule.</t>
        </r>
      </text>
    </comment>
    <comment ref="E143" authorId="0">
      <text>
        <r>
          <rPr>
            <b/>
            <sz val="9"/>
            <rFont val="Tahoma"/>
            <family val="0"/>
          </rPr>
          <t>DC-Gregory:</t>
        </r>
        <r>
          <rPr>
            <sz val="9"/>
            <rFont val="Tahoma"/>
            <family val="0"/>
          </rPr>
          <t xml:space="preserve">
use 1800 with no change for Africa</t>
        </r>
      </text>
    </comment>
    <comment ref="E144" authorId="0">
      <text>
        <r>
          <rPr>
            <b/>
            <sz val="9"/>
            <rFont val="Tahoma"/>
            <family val="0"/>
          </rPr>
          <t>DC-Gregory:</t>
        </r>
        <r>
          <rPr>
            <sz val="9"/>
            <rFont val="Tahoma"/>
            <family val="0"/>
          </rPr>
          <t xml:space="preserve">
use 1800 with no change for Africa</t>
        </r>
      </text>
    </comment>
    <comment ref="F145" authorId="0">
      <text>
        <r>
          <rPr>
            <b/>
            <sz val="9"/>
            <rFont val="Tahoma"/>
            <family val="2"/>
          </rPr>
          <t>DC-Gregory:</t>
        </r>
        <r>
          <rPr>
            <sz val="9"/>
            <rFont val="Tahoma"/>
            <family val="2"/>
          </rPr>
          <t xml:space="preserve">
0.2m in Denmark</t>
        </r>
      </text>
    </comment>
    <comment ref="E148" authorId="0">
      <text>
        <r>
          <rPr>
            <b/>
            <sz val="9"/>
            <rFont val="Tahoma"/>
            <family val="2"/>
          </rPr>
          <t>DC-Gregory:</t>
        </r>
        <r>
          <rPr>
            <sz val="9"/>
            <rFont val="Tahoma"/>
            <family val="2"/>
          </rPr>
          <t xml:space="preserve">
from 1800 * west asia 1600/1800 change in horiz file</t>
        </r>
      </text>
    </comment>
    <comment ref="D149" authorId="0">
      <text>
        <r>
          <rPr>
            <b/>
            <sz val="9"/>
            <rFont val="Tahoma"/>
            <family val="2"/>
          </rPr>
          <t>DC-Gregory:</t>
        </r>
        <r>
          <rPr>
            <sz val="9"/>
            <rFont val="Tahoma"/>
            <family val="2"/>
          </rPr>
          <t xml:space="preserve">
similar to india for se asia</t>
        </r>
      </text>
    </comment>
    <comment ref="E149" authorId="0">
      <text>
        <r>
          <rPr>
            <b/>
            <sz val="9"/>
            <rFont val="Tahoma"/>
            <family val="0"/>
          </rPr>
          <t>DC-Gregory:</t>
        </r>
        <r>
          <rPr>
            <sz val="9"/>
            <rFont val="Tahoma"/>
            <family val="0"/>
          </rPr>
          <t xml:space="preserve">
from 1800 with no east asia 1600/1800 change in horiz file</t>
        </r>
      </text>
    </comment>
    <comment ref="F149" authorId="0">
      <text>
        <r>
          <rPr>
            <b/>
            <sz val="9"/>
            <rFont val="Tahoma"/>
            <family val="0"/>
          </rPr>
          <t>DC-Gregory:</t>
        </r>
        <r>
          <rPr>
            <sz val="9"/>
            <rFont val="Tahoma"/>
            <family val="0"/>
          </rPr>
          <t xml:space="preserve">
Thai attack on Burma, resulting in the capture of the Tanintharyi Region as far as Mottama in 1595</t>
        </r>
      </text>
    </comment>
    <comment ref="D150" authorId="0">
      <text>
        <r>
          <rPr>
            <b/>
            <sz val="9"/>
            <rFont val="Tahoma"/>
            <family val="2"/>
          </rPr>
          <t>DC-Gregory:</t>
        </r>
        <r>
          <rPr>
            <sz val="9"/>
            <rFont val="Tahoma"/>
            <family val="2"/>
          </rPr>
          <t xml:space="preserve">
similar to india for se asia</t>
        </r>
      </text>
    </comment>
    <comment ref="E150" authorId="0">
      <text>
        <r>
          <rPr>
            <b/>
            <sz val="9"/>
            <rFont val="Tahoma"/>
            <family val="0"/>
          </rPr>
          <t>DC-Gregory:</t>
        </r>
        <r>
          <rPr>
            <sz val="9"/>
            <rFont val="Tahoma"/>
            <family val="0"/>
          </rPr>
          <t xml:space="preserve">
from 1800 with no east asia 1600/1800 change in horiz file</t>
        </r>
      </text>
    </comment>
    <comment ref="F150" authorId="0">
      <text>
        <r>
          <rPr>
            <b/>
            <sz val="9"/>
            <rFont val="Tahoma"/>
            <family val="0"/>
          </rPr>
          <t>DC-Gregory:</t>
        </r>
        <r>
          <rPr>
            <sz val="9"/>
            <rFont val="Tahoma"/>
            <family val="0"/>
          </rPr>
          <t xml:space="preserve">
most of northern region of Thailand</t>
        </r>
      </text>
    </comment>
    <comment ref="E151" authorId="0">
      <text>
        <r>
          <rPr>
            <b/>
            <sz val="9"/>
            <rFont val="Tahoma"/>
            <family val="0"/>
          </rPr>
          <t>DC-Gregory:</t>
        </r>
        <r>
          <rPr>
            <sz val="9"/>
            <rFont val="Tahoma"/>
            <family val="0"/>
          </rPr>
          <t xml:space="preserve">
use average for border region of Burma &amp; Siam</t>
        </r>
      </text>
    </comment>
    <comment ref="E152" authorId="0">
      <text>
        <r>
          <rPr>
            <b/>
            <sz val="9"/>
            <rFont val="Tahoma"/>
            <family val="0"/>
          </rPr>
          <t>DC-Gregory:</t>
        </r>
        <r>
          <rPr>
            <sz val="9"/>
            <rFont val="Tahoma"/>
            <family val="0"/>
          </rPr>
          <t xml:space="preserve">
use 1800 with no change for Africa</t>
        </r>
      </text>
    </comment>
    <comment ref="E156" authorId="0">
      <text>
        <r>
          <rPr>
            <b/>
            <sz val="9"/>
            <rFont val="Tahoma"/>
            <family val="0"/>
          </rPr>
          <t>DC-Gregory:</t>
        </r>
        <r>
          <rPr>
            <sz val="9"/>
            <rFont val="Tahoma"/>
            <family val="0"/>
          </rPr>
          <t xml:space="preserve">
from 1800 * former USSR 1600/1800 change in horiz file</t>
        </r>
      </text>
    </comment>
    <comment ref="F158" authorId="0">
      <text>
        <r>
          <rPr>
            <b/>
            <sz val="9"/>
            <rFont val="Tahoma"/>
            <family val="2"/>
          </rPr>
          <t xml:space="preserve">DC-Gregory: </t>
        </r>
        <r>
          <rPr>
            <sz val="9"/>
            <rFont val="Tahoma"/>
            <family val="2"/>
          </rPr>
          <t>Atas of world pop: 4.25 m
wiki/List_of_countries_by_population_in_1600: 4.4m</t>
        </r>
      </text>
    </comment>
    <comment ref="F159" authorId="0">
      <text>
        <r>
          <rPr>
            <b/>
            <sz val="9"/>
            <rFont val="Tahoma"/>
            <family val="2"/>
          </rPr>
          <t>DC-Gregory:</t>
        </r>
        <r>
          <rPr>
            <sz val="9"/>
            <rFont val="Tahoma"/>
            <family val="2"/>
          </rPr>
          <t xml:space="preserve">
Atas of world pop: .7m
wiki/List_of_countries_by_population_in_1600: .8m</t>
        </r>
      </text>
    </comment>
    <comment ref="E160" authorId="0">
      <text>
        <r>
          <rPr>
            <b/>
            <sz val="9"/>
            <rFont val="Tahoma"/>
            <family val="0"/>
          </rPr>
          <t>DC-Gregory:</t>
        </r>
        <r>
          <rPr>
            <sz val="9"/>
            <rFont val="Tahoma"/>
            <family val="0"/>
          </rPr>
          <t xml:space="preserve">
from 1800 * latin america 1600/1800 change in horiz file</t>
        </r>
      </text>
    </comment>
    <comment ref="A162" authorId="0">
      <text>
        <r>
          <rPr>
            <b/>
            <sz val="9"/>
            <rFont val="Tahoma"/>
            <family val="0"/>
          </rPr>
          <t>DC-Gregory:</t>
        </r>
        <r>
          <rPr>
            <sz val="9"/>
            <rFont val="Tahoma"/>
            <family val="0"/>
          </rPr>
          <t xml:space="preserve">
the Nguyễn lords in the South and the Trịnh lords in the North, both ruling in the name of the Lê emperor</t>
        </r>
      </text>
    </comment>
    <comment ref="D162" authorId="0">
      <text>
        <r>
          <rPr>
            <b/>
            <sz val="9"/>
            <rFont val="Tahoma"/>
            <family val="2"/>
          </rPr>
          <t>DC-Gregory:</t>
        </r>
        <r>
          <rPr>
            <sz val="9"/>
            <rFont val="Tahoma"/>
            <family val="2"/>
          </rPr>
          <t xml:space="preserve">
simiilar to India for se asia.</t>
        </r>
      </text>
    </comment>
    <comment ref="E162" authorId="0">
      <text>
        <r>
          <rPr>
            <b/>
            <sz val="9"/>
            <rFont val="Tahoma"/>
            <family val="0"/>
          </rPr>
          <t>DC-Gregory:</t>
        </r>
        <r>
          <rPr>
            <sz val="9"/>
            <rFont val="Tahoma"/>
            <family val="0"/>
          </rPr>
          <t xml:space="preserve">
from 1800 with no east asia 1600/1800 change in horiz file</t>
        </r>
      </text>
    </comment>
    <comment ref="F162" authorId="0">
      <text>
        <r>
          <rPr>
            <b/>
            <sz val="9"/>
            <rFont val="Tahoma"/>
            <family val="2"/>
          </rPr>
          <t>DC-Gregory:</t>
        </r>
        <r>
          <rPr>
            <sz val="9"/>
            <rFont val="Tahoma"/>
            <family val="2"/>
          </rPr>
          <t xml:space="preserve">
excludes southern part.
Altas of world pop: 2m less 0.5</t>
        </r>
      </text>
    </comment>
    <comment ref="E168" authorId="0">
      <text>
        <r>
          <rPr>
            <b/>
            <sz val="9"/>
            <rFont val="Tahoma"/>
            <family val="2"/>
          </rPr>
          <t>DC-Gregory:</t>
        </r>
        <r>
          <rPr>
            <sz val="9"/>
            <rFont val="Tahoma"/>
            <family val="2"/>
          </rPr>
          <t xml:space="preserve">
from 1800 * west asia 1600/1800 change in horiz file</t>
        </r>
      </text>
    </comment>
    <comment ref="F168" authorId="0">
      <text>
        <r>
          <rPr>
            <b/>
            <sz val="9"/>
            <rFont val="Tahoma"/>
            <family val="0"/>
          </rPr>
          <t>DC-Gregory:</t>
        </r>
        <r>
          <rPr>
            <sz val="9"/>
            <rFont val="Tahoma"/>
            <family val="0"/>
          </rPr>
          <t xml:space="preserve">
most was in Ottoman rule</t>
        </r>
      </text>
    </comment>
    <comment ref="E25" authorId="0">
      <text>
        <r>
          <rPr>
            <b/>
            <sz val="9"/>
            <rFont val="Tahoma"/>
            <family val="2"/>
          </rPr>
          <t>DC-Gregory:</t>
        </r>
        <r>
          <rPr>
            <sz val="9"/>
            <rFont val="Tahoma"/>
            <family val="2"/>
          </rPr>
          <t xml:space="preserve">
940 in 1661 converted from 2011 US$ to 2005 US$. Source mpd2018 (cgdppc)</t>
        </r>
      </text>
    </comment>
  </commentList>
</comments>
</file>

<file path=xl/sharedStrings.xml><?xml version="1.0" encoding="utf-8"?>
<sst xmlns="http://schemas.openxmlformats.org/spreadsheetml/2006/main" count="1214" uniqueCount="309">
  <si>
    <t>COUNTRY</t>
  </si>
  <si>
    <t>(2005 International dollars)</t>
  </si>
  <si>
    <t>ALBANIA</t>
  </si>
  <si>
    <t>ALGERIA</t>
  </si>
  <si>
    <t>AUSTRIA</t>
  </si>
  <si>
    <t>Austro-Hungarian Emp.</t>
  </si>
  <si>
    <t>Barbados</t>
  </si>
  <si>
    <t>BULGARIA</t>
  </si>
  <si>
    <t>CUBA</t>
  </si>
  <si>
    <t>CZECHOSLOVAKIA</t>
  </si>
  <si>
    <t>DENMARK</t>
  </si>
  <si>
    <t>EGYPT</t>
  </si>
  <si>
    <t>FINLAND</t>
  </si>
  <si>
    <t>FRANCE</t>
  </si>
  <si>
    <t>HUNGARY</t>
  </si>
  <si>
    <t>INDIA</t>
  </si>
  <si>
    <t>IRAN - PERSIA</t>
  </si>
  <si>
    <t>IRAQ</t>
  </si>
  <si>
    <t>ISRAEL - PALESTINE</t>
  </si>
  <si>
    <t>ITALY</t>
  </si>
  <si>
    <t>JAPAN</t>
  </si>
  <si>
    <t>JORDON</t>
  </si>
  <si>
    <t>LIBYA</t>
  </si>
  <si>
    <t>MALAYSIA</t>
  </si>
  <si>
    <t>MOROCCO</t>
  </si>
  <si>
    <t>NORWAY</t>
  </si>
  <si>
    <t>Oman</t>
  </si>
  <si>
    <t>OTTOMAN Emp.</t>
  </si>
  <si>
    <t>PAKISTAN, W</t>
  </si>
  <si>
    <t>ROMANIA</t>
  </si>
  <si>
    <t>SAUDI ARABIA</t>
  </si>
  <si>
    <t>SPAIN</t>
  </si>
  <si>
    <t>SWEDEN</t>
  </si>
  <si>
    <t>SWITZERLAND</t>
  </si>
  <si>
    <t>SYRIA</t>
  </si>
  <si>
    <t>TUNISIA</t>
  </si>
  <si>
    <t>TURKEY</t>
  </si>
  <si>
    <t>UNITED KINGDOM</t>
  </si>
  <si>
    <t>YEMAN</t>
  </si>
  <si>
    <t>TOTAL</t>
  </si>
  <si>
    <t>SCALE  us$ / unit</t>
  </si>
  <si>
    <t>Hokkaido (Japan)</t>
  </si>
  <si>
    <t>Sado</t>
  </si>
  <si>
    <t>Awaji</t>
  </si>
  <si>
    <t>Shikoku</t>
  </si>
  <si>
    <t>Kyushu</t>
  </si>
  <si>
    <t>CYPRUS  (Ottoman 1570:  Br. prot-1878)</t>
  </si>
  <si>
    <t>PAKISTAN, E (Bangladesh)</t>
  </si>
  <si>
    <t>INDONESIA -Dutch East Indies</t>
  </si>
  <si>
    <t>KOREA (Joseon Kingdom to 1897)</t>
  </si>
  <si>
    <t>Balearic Islands (Spain)</t>
  </si>
  <si>
    <t xml:space="preserve">ETHIOPIA </t>
  </si>
  <si>
    <t>Yugoslavia</t>
  </si>
  <si>
    <t xml:space="preserve">(1990 International Geary-Khamis dollars) </t>
  </si>
  <si>
    <t xml:space="preserve">  Kingdom of Scotland</t>
  </si>
  <si>
    <t xml:space="preserve"> Savoy</t>
  </si>
  <si>
    <t xml:space="preserve">  C of Burgundy</t>
  </si>
  <si>
    <t xml:space="preserve">  Spanish Empire</t>
  </si>
  <si>
    <t>Honshu - Japan</t>
  </si>
  <si>
    <t xml:space="preserve">  Turkey in Europe</t>
  </si>
  <si>
    <t xml:space="preserve">  Turkey in Asia</t>
  </si>
  <si>
    <t>in Persia</t>
  </si>
  <si>
    <t>in Ottoman Emp</t>
  </si>
  <si>
    <t>in India</t>
  </si>
  <si>
    <t>AFGANISTAN in Persia</t>
  </si>
  <si>
    <t>AFGANISTAN  in Mogul Emp</t>
  </si>
  <si>
    <t>in Mogul Emp</t>
  </si>
  <si>
    <t>Georgia in Ottoman Emp</t>
  </si>
  <si>
    <t>in Austro-Hungarian Emp.</t>
  </si>
  <si>
    <t xml:space="preserve"> Hungary in Austro-Hungary</t>
  </si>
  <si>
    <t xml:space="preserve">  Hungary in Ottoman Emp</t>
  </si>
  <si>
    <t>BRAZIL Portguese</t>
  </si>
  <si>
    <t>in Spanish American Empire</t>
  </si>
  <si>
    <t>CHINA (Ming Empire)</t>
  </si>
  <si>
    <t>Central America</t>
  </si>
  <si>
    <t xml:space="preserve">  Spanish American Empire</t>
  </si>
  <si>
    <t>BELGIUM-  Spanish Netherlands</t>
  </si>
  <si>
    <t xml:space="preserve">in K. Of Sweden </t>
  </si>
  <si>
    <t>in Spanish Empire</t>
  </si>
  <si>
    <t>Holy Roman Empire</t>
  </si>
  <si>
    <t>GERMANY</t>
  </si>
  <si>
    <t xml:space="preserve"> Poland in Austo-Hungarian Emp</t>
  </si>
  <si>
    <t>in Ottoman Emp.</t>
  </si>
  <si>
    <t>Germany in Holy Roman Empire</t>
  </si>
  <si>
    <t xml:space="preserve"> less Check</t>
  </si>
  <si>
    <t>less Austria</t>
  </si>
  <si>
    <t xml:space="preserve">  Germany in Holy Roman Empire</t>
  </si>
  <si>
    <t>less Yugoslavia</t>
  </si>
  <si>
    <t xml:space="preserve"> Southern India</t>
  </si>
  <si>
    <t xml:space="preserve">  Mughal Empire</t>
  </si>
  <si>
    <t>GREECE in Ottoman Emp.</t>
  </si>
  <si>
    <t xml:space="preserve">  Crete in Venice</t>
  </si>
  <si>
    <t>in Venice</t>
  </si>
  <si>
    <t>IRELAND</t>
  </si>
  <si>
    <t>https://en.wikipedia.org/wiki/List_of_countries_by_population_in_1600</t>
  </si>
  <si>
    <t xml:space="preserve">  Kingdom of England + Wales</t>
  </si>
  <si>
    <t>THAILAND - SIAM Ayutthaya Kingdom</t>
  </si>
  <si>
    <t xml:space="preserve">   Bijapur sultanate sw</t>
  </si>
  <si>
    <t xml:space="preserve">   Vijayanagara Empire  s</t>
  </si>
  <si>
    <t xml:space="preserve">   Mataram Sultanate</t>
  </si>
  <si>
    <t>central 1/3 Java</t>
  </si>
  <si>
    <t xml:space="preserve">  Ache Sultanate</t>
  </si>
  <si>
    <t xml:space="preserve">  Ahmadnagar  nw</t>
  </si>
  <si>
    <t xml:space="preserve">  Bidar</t>
  </si>
  <si>
    <t xml:space="preserve">  size</t>
  </si>
  <si>
    <t>in union with England</t>
  </si>
  <si>
    <t xml:space="preserve">  Genoa (includes Corsica)</t>
  </si>
  <si>
    <t xml:space="preserve">  Venetian Republic</t>
  </si>
  <si>
    <t xml:space="preserve">  Modena</t>
  </si>
  <si>
    <t xml:space="preserve">  Papal State</t>
  </si>
  <si>
    <t xml:space="preserve">  Tuscany (Florence)</t>
  </si>
  <si>
    <t xml:space="preserve">  Milan ( to Spain)</t>
  </si>
  <si>
    <t xml:space="preserve">  kingdom of Naples  (to Spain)</t>
  </si>
  <si>
    <t xml:space="preserve">  kingdom of Sicily     (to Spain)</t>
  </si>
  <si>
    <t xml:space="preserve"> Northern Italy states</t>
  </si>
  <si>
    <t xml:space="preserve">  Sardinia     (to Spain)</t>
  </si>
  <si>
    <t xml:space="preserve">       total north italy area</t>
  </si>
  <si>
    <t xml:space="preserve">  Corsica</t>
  </si>
  <si>
    <t>in Genoa</t>
  </si>
  <si>
    <t>Kazakh Khanate</t>
  </si>
  <si>
    <t>Khanate of Bukhara</t>
  </si>
  <si>
    <t>Kingdon of Burma Taungoo Dynasty</t>
  </si>
  <si>
    <t xml:space="preserve"> Arakan - Mrauk-U</t>
  </si>
  <si>
    <t xml:space="preserve">LAOS </t>
  </si>
  <si>
    <t xml:space="preserve">  Johor sultanate</t>
  </si>
  <si>
    <t>small kingdoms in Kathmandu valley</t>
  </si>
  <si>
    <t>http://www.sfu.ca/~pabel/321MAPS.HTM</t>
  </si>
  <si>
    <t>NETHERLANDS (Dutch Republic)</t>
  </si>
  <si>
    <t>in K. Of Denmark-Norway</t>
  </si>
  <si>
    <t>Iceland</t>
  </si>
  <si>
    <t xml:space="preserve"> Kingdom of Denmark-Norway</t>
  </si>
  <si>
    <t>Kathmandu part of Nepal</t>
  </si>
  <si>
    <t>Austria</t>
  </si>
  <si>
    <t>Czechoslovakia</t>
  </si>
  <si>
    <t>Hungary</t>
  </si>
  <si>
    <t>Poland</t>
  </si>
  <si>
    <t>Pop in Austro-Hungarian Emp.</t>
  </si>
  <si>
    <t>P. Of Transylvania</t>
  </si>
  <si>
    <t>It seems that at times the Nabhani only controlled part of the interior of the country</t>
  </si>
  <si>
    <t>includesP. Of Wallachia, P. Of Mordavia</t>
  </si>
  <si>
    <t xml:space="preserve"> Romania vassals of Ottomen Emp.</t>
  </si>
  <si>
    <t>PHILIPPINES (Spanish American Emp.)</t>
  </si>
  <si>
    <t>SRI LANKA -  Portugese Ceylon</t>
  </si>
  <si>
    <t xml:space="preserve"> Kingdom of Kandy</t>
  </si>
  <si>
    <t xml:space="preserve">  Funj Sultanate of Sennar</t>
  </si>
  <si>
    <t xml:space="preserve">SUDAN </t>
  </si>
  <si>
    <t xml:space="preserve"> Kingdom of Sweden</t>
  </si>
  <si>
    <t>in Kingdom of Sweden</t>
  </si>
  <si>
    <t>ESTONIA north Sweden part</t>
  </si>
  <si>
    <t xml:space="preserve">Ukraine, south </t>
  </si>
  <si>
    <t>VIETNAM Kingdom of Đại Việt</t>
  </si>
  <si>
    <t xml:space="preserve">CAMBODIA </t>
  </si>
  <si>
    <t>Pop in Viceroyalty of Peru</t>
  </si>
  <si>
    <t>colombia</t>
  </si>
  <si>
    <t>peru</t>
  </si>
  <si>
    <t>ecuador</t>
  </si>
  <si>
    <t>bolivia</t>
  </si>
  <si>
    <t>chile</t>
  </si>
  <si>
    <t>paraguay</t>
  </si>
  <si>
    <t>NEPAL- Kathmandu</t>
  </si>
  <si>
    <t>Venezuela in New Spain</t>
  </si>
  <si>
    <t>MEXICO in New Spain</t>
  </si>
  <si>
    <t>Mongolia</t>
  </si>
  <si>
    <t xml:space="preserve">  Tibet</t>
  </si>
  <si>
    <t>China from 1661</t>
  </si>
  <si>
    <t>albania</t>
  </si>
  <si>
    <t>bulgaria</t>
  </si>
  <si>
    <t>European Ottoman</t>
  </si>
  <si>
    <t>greece</t>
  </si>
  <si>
    <t>hungary</t>
  </si>
  <si>
    <t>rumania</t>
  </si>
  <si>
    <t>turkey</t>
  </si>
  <si>
    <t>yugoslavia</t>
  </si>
  <si>
    <t>Asian Ottoman</t>
  </si>
  <si>
    <t>Azerbaijan</t>
  </si>
  <si>
    <t>georgia</t>
  </si>
  <si>
    <t>iraq</t>
  </si>
  <si>
    <t>palestine</t>
  </si>
  <si>
    <t>jordon</t>
  </si>
  <si>
    <t>saudi arabia</t>
  </si>
  <si>
    <t>yeman</t>
  </si>
  <si>
    <t>s ukraine</t>
  </si>
  <si>
    <t>Armenia</t>
  </si>
  <si>
    <t>armenia</t>
  </si>
  <si>
    <t xml:space="preserve"> Azores</t>
  </si>
  <si>
    <t>egypt</t>
  </si>
  <si>
    <t>libya</t>
  </si>
  <si>
    <t>tunisia</t>
  </si>
  <si>
    <t>algeria</t>
  </si>
  <si>
    <t xml:space="preserve">  Morrocco - Songhai (N Mali)</t>
  </si>
  <si>
    <t>mali</t>
  </si>
  <si>
    <t>niger</t>
  </si>
  <si>
    <t>chad</t>
  </si>
  <si>
    <t xml:space="preserve">  Eritrea</t>
  </si>
  <si>
    <t>1/3 controlled by king</t>
  </si>
  <si>
    <t>Africa Ottoman</t>
  </si>
  <si>
    <t>eritria</t>
  </si>
  <si>
    <t>Chad - Bornu Empire</t>
  </si>
  <si>
    <t>mauratania</t>
  </si>
  <si>
    <t>Bornu state nigeria - Bornu Empire</t>
  </si>
  <si>
    <t>Sahel in 1900</t>
  </si>
  <si>
    <t>Senegal - Jolof kingdom</t>
  </si>
  <si>
    <t>Nigeria - Benin</t>
  </si>
  <si>
    <t>Congo - Luba</t>
  </si>
  <si>
    <t>Angola - Kongo kingdom</t>
  </si>
  <si>
    <t>Malawi - Maravi kingdom</t>
  </si>
  <si>
    <t>Mozambique - Portugese</t>
  </si>
  <si>
    <t>Region</t>
  </si>
  <si>
    <t>AS</t>
  </si>
  <si>
    <t>AF</t>
  </si>
  <si>
    <t>EU</t>
  </si>
  <si>
    <t>AM</t>
  </si>
  <si>
    <t xml:space="preserve">  Portugese Angola</t>
  </si>
  <si>
    <t>PORTUGAL in Spain</t>
  </si>
  <si>
    <t>cyprus</t>
  </si>
  <si>
    <t xml:space="preserve">  Golkonda  se</t>
  </si>
  <si>
    <t>Also Ava, Shan</t>
  </si>
  <si>
    <t xml:space="preserve">  Lan na (north region)</t>
  </si>
  <si>
    <t>History of World GDP horizontal-file_02-2010</t>
  </si>
  <si>
    <t>gapdata001 v14</t>
  </si>
  <si>
    <t>Altas of world pop history</t>
  </si>
  <si>
    <t>gapdata001 v14  Interpolated from 1800 or other later date</t>
  </si>
  <si>
    <t>ViceRoyalty of Peru</t>
  </si>
  <si>
    <t>PERU  (VR Peru)</t>
  </si>
  <si>
    <t>Paraguay  (VR Peru)</t>
  </si>
  <si>
    <t>Panama (VR Peru)</t>
  </si>
  <si>
    <t>ECUADOR  (VR Peru)</t>
  </si>
  <si>
    <t>COLOMBIA (VR Peru)</t>
  </si>
  <si>
    <t>CHILE  (VR Peru)</t>
  </si>
  <si>
    <t>BOLIVIA (VR Peru)</t>
  </si>
  <si>
    <t xml:space="preserve">  Haiti part of Hispanolia</t>
  </si>
  <si>
    <t>DOMINICAN REP Hispanolia</t>
  </si>
  <si>
    <t xml:space="preserve">  N Korea area</t>
  </si>
  <si>
    <t xml:space="preserve">  S Korea area</t>
  </si>
  <si>
    <t xml:space="preserve">  Poland in K. of Poland-Lithuania</t>
  </si>
  <si>
    <t xml:space="preserve">  Lithuania in K. of Poland-Lithuania</t>
  </si>
  <si>
    <t xml:space="preserve">  Latvia in K. of Poland-Lithuania</t>
  </si>
  <si>
    <t xml:space="preserve">  Ukraine  in K. of Poland-Lithuania</t>
  </si>
  <si>
    <t xml:space="preserve">  Belarus  in K. of Poland-Lithuania</t>
  </si>
  <si>
    <t>K. Of Poland-Lithuania</t>
  </si>
  <si>
    <t>less sw Poland</t>
  </si>
  <si>
    <t>less n Italy</t>
  </si>
  <si>
    <t xml:space="preserve">  Russia in K. of Poland-Lithuania</t>
  </si>
  <si>
    <t xml:space="preserve">  Pattani_Kingdom</t>
  </si>
  <si>
    <t xml:space="preserve">  Parak sultanate</t>
  </si>
  <si>
    <t xml:space="preserve">  Riau (in Johar sultanate)</t>
  </si>
  <si>
    <t>in Johar sultanate</t>
  </si>
  <si>
    <t xml:space="preserve">  Banten_Sultanate</t>
  </si>
  <si>
    <t xml:space="preserve">    Lampung part</t>
  </si>
  <si>
    <t>Ache state is 1/60 indonesia</t>
  </si>
  <si>
    <t>Canaries (in Spain)</t>
  </si>
  <si>
    <t>Tsardom of Russia</t>
  </si>
  <si>
    <t>Lebanon</t>
  </si>
  <si>
    <t xml:space="preserve">  Tanintharyi Region (se)</t>
  </si>
  <si>
    <t xml:space="preserve">in  Siam Ayutthaya </t>
  </si>
  <si>
    <t xml:space="preserve">   Ngunyan control (s)</t>
  </si>
  <si>
    <t xml:space="preserve">   Trinh control   (n)</t>
  </si>
  <si>
    <t xml:space="preserve">VIETNAM  </t>
  </si>
  <si>
    <t xml:space="preserve">   Champa control  (s)</t>
  </si>
  <si>
    <t xml:space="preserve">   Mac control (Cao Bang)</t>
  </si>
  <si>
    <t>Cochin-China</t>
  </si>
  <si>
    <t xml:space="preserve"> NW area to Thailand</t>
  </si>
  <si>
    <t>inThailand- Ayutthaya Kingdom</t>
  </si>
  <si>
    <t>in Cambodia</t>
  </si>
  <si>
    <t xml:space="preserve">   Slovenia </t>
  </si>
  <si>
    <t xml:space="preserve">   Bosnia</t>
  </si>
  <si>
    <t xml:space="preserve">   Serbia</t>
  </si>
  <si>
    <t xml:space="preserve">   Macedonia </t>
  </si>
  <si>
    <t xml:space="preserve">   Montenegro</t>
  </si>
  <si>
    <t xml:space="preserve">   Croatia (n)</t>
  </si>
  <si>
    <t xml:space="preserve">   Croatia (s)</t>
  </si>
  <si>
    <t xml:space="preserve">  France in Holy Roman Empire</t>
  </si>
  <si>
    <t xml:space="preserve">  Poland in Holy Roman Empire</t>
  </si>
  <si>
    <t>http://www.tacitus.nu/historical-atlas/</t>
  </si>
  <si>
    <t>Grand Total</t>
  </si>
  <si>
    <t>lebanon</t>
  </si>
  <si>
    <t>syria</t>
  </si>
  <si>
    <t>x</t>
  </si>
  <si>
    <t>1600 pop(m)</t>
  </si>
  <si>
    <t>AF Total</t>
  </si>
  <si>
    <t>AM Total</t>
  </si>
  <si>
    <t>AS Total</t>
  </si>
  <si>
    <t>EU Total</t>
  </si>
  <si>
    <t>Data</t>
  </si>
  <si>
    <t>1600 pop (m)</t>
  </si>
  <si>
    <t xml:space="preserve">(1990 International dollars) </t>
  </si>
  <si>
    <t>Pop (m)</t>
  </si>
  <si>
    <t>COUNTRY or area</t>
  </si>
  <si>
    <t>(2005 B$ International dollars)</t>
  </si>
  <si>
    <t>Economic size</t>
  </si>
  <si>
    <t>Political  Economy</t>
  </si>
  <si>
    <t>Calculated B$</t>
  </si>
  <si>
    <t>Economic  size</t>
  </si>
  <si>
    <t xml:space="preserve"> Political  Economy</t>
  </si>
  <si>
    <t>Total</t>
  </si>
  <si>
    <t>Political  Economy size</t>
  </si>
  <si>
    <t>(Multiple Items)</t>
  </si>
  <si>
    <t>Rank</t>
  </si>
  <si>
    <t>LAOS - Lan Xang</t>
  </si>
  <si>
    <t xml:space="preserve">  Hainan  (Ming Empire)</t>
  </si>
  <si>
    <t xml:space="preserve">   Blambangan Kingdom</t>
  </si>
  <si>
    <t xml:space="preserve">   Cirebon Sultanate</t>
  </si>
  <si>
    <t xml:space="preserve">   Turnate Sultanate</t>
  </si>
  <si>
    <t xml:space="preserve">  Tibet -Tsangpa Dynasty</t>
  </si>
  <si>
    <t>1870 pop</t>
  </si>
  <si>
    <t>JAPAN Tokugawa shogunate</t>
  </si>
  <si>
    <t>1600 pop</t>
  </si>
  <si>
    <t xml:space="preserve">  Ryukyu Kingdom (Okinawa)</t>
  </si>
  <si>
    <t>Total - Japan-Tokugawa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</si>
</sst>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_);\(0.00\)"/>
  </numFmts>
  <fonts count="46">
    <font>
      <sz val="10"/>
      <name val="Arial"/>
      <family val="0"/>
    </font>
    <font>
      <b/>
      <sz val="10"/>
      <name val="Arial"/>
      <family val="0"/>
    </font>
    <font>
      <i/>
      <sz val="10"/>
      <name val="Arial"/>
      <family val="0"/>
    </font>
    <font>
      <b/>
      <i/>
      <sz val="10"/>
      <name val="Arial"/>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172" fontId="0"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protection locked="0"/>
    </xf>
    <xf numFmtId="172" fontId="0" fillId="0" borderId="0" xfId="0" applyNumberFormat="1" applyFill="1" applyBorder="1" applyAlignment="1" applyProtection="1">
      <alignment/>
      <protection locked="0"/>
    </xf>
    <xf numFmtId="172" fontId="0" fillId="0" borderId="0" xfId="0" applyNumberFormat="1" applyFont="1" applyFill="1" applyBorder="1" applyAlignment="1" applyProtection="1">
      <alignment/>
      <protection locked="0"/>
    </xf>
    <xf numFmtId="0" fontId="0" fillId="0" borderId="0" xfId="0" applyFont="1" applyAlignment="1">
      <alignment/>
    </xf>
    <xf numFmtId="2" fontId="0" fillId="0" borderId="0" xfId="0" applyNumberFormat="1" applyFill="1" applyBorder="1" applyAlignment="1" applyProtection="1">
      <alignment/>
      <protection locked="0"/>
    </xf>
    <xf numFmtId="172" fontId="0" fillId="0" borderId="0" xfId="0" applyNumberFormat="1" applyAlignment="1">
      <alignment/>
    </xf>
    <xf numFmtId="2" fontId="0" fillId="0" borderId="0" xfId="0" applyNumberFormat="1" applyFont="1" applyFill="1" applyBorder="1" applyAlignment="1" applyProtection="1">
      <alignment/>
      <protection locked="0"/>
    </xf>
    <xf numFmtId="0" fontId="37" fillId="0" borderId="0" xfId="53" applyAlignment="1" applyProtection="1">
      <alignment/>
      <protection/>
    </xf>
    <xf numFmtId="178" fontId="0" fillId="0" borderId="0" xfId="0" applyNumberFormat="1" applyFont="1" applyFill="1" applyBorder="1" applyAlignment="1" applyProtection="1">
      <alignment/>
      <protection locked="0"/>
    </xf>
    <xf numFmtId="172" fontId="0" fillId="0" borderId="0" xfId="0" applyNumberFormat="1" applyFont="1" applyFill="1" applyBorder="1" applyAlignment="1" applyProtection="1">
      <alignment/>
      <protection locked="0"/>
    </xf>
    <xf numFmtId="0" fontId="0" fillId="0" borderId="0" xfId="0" applyFont="1" applyAlignment="1">
      <alignment/>
    </xf>
    <xf numFmtId="1" fontId="0" fillId="0" borderId="0" xfId="0" applyNumberFormat="1" applyAlignment="1">
      <alignment/>
    </xf>
    <xf numFmtId="2" fontId="0" fillId="0" borderId="0" xfId="0" applyNumberFormat="1" applyFont="1" applyFill="1" applyBorder="1" applyAlignment="1" applyProtection="1">
      <alignment/>
      <protection locked="0"/>
    </xf>
    <xf numFmtId="172" fontId="0" fillId="0" borderId="0" xfId="0" applyNumberFormat="1" applyFont="1" applyFill="1" applyBorder="1" applyAlignment="1" applyProtection="1">
      <alignment wrapText="1"/>
      <protection locked="0"/>
    </xf>
    <xf numFmtId="1" fontId="0" fillId="0" borderId="0" xfId="0" applyNumberFormat="1" applyFont="1" applyFill="1" applyBorder="1" applyAlignment="1" applyProtection="1">
      <alignmen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72" fontId="0" fillId="0" borderId="10" xfId="0" applyNumberFormat="1" applyBorder="1" applyAlignment="1">
      <alignment/>
    </xf>
    <xf numFmtId="172" fontId="0" fillId="0" borderId="10" xfId="0" applyNumberFormat="1" applyBorder="1" applyAlignment="1">
      <alignment/>
    </xf>
    <xf numFmtId="172" fontId="0" fillId="0" borderId="13" xfId="0" applyNumberFormat="1" applyBorder="1" applyAlignment="1">
      <alignment/>
    </xf>
    <xf numFmtId="172" fontId="0" fillId="0" borderId="14" xfId="0" applyNumberFormat="1" applyBorder="1" applyAlignment="1">
      <alignment/>
    </xf>
    <xf numFmtId="172" fontId="0" fillId="0" borderId="17" xfId="0" applyNumberFormat="1" applyBorder="1" applyAlignment="1">
      <alignment/>
    </xf>
    <xf numFmtId="172" fontId="0" fillId="0" borderId="16" xfId="0" applyNumberFormat="1" applyBorder="1" applyAlignment="1">
      <alignment/>
    </xf>
    <xf numFmtId="172" fontId="0" fillId="0" borderId="18" xfId="0" applyNumberFormat="1" applyBorder="1" applyAlignment="1">
      <alignment/>
    </xf>
    <xf numFmtId="172" fontId="0" fillId="0" borderId="19" xfId="0" applyNumberFormat="1" applyBorder="1" applyAlignment="1">
      <alignment/>
    </xf>
    <xf numFmtId="172" fontId="0" fillId="0" borderId="11" xfId="0" applyNumberFormat="1" applyBorder="1" applyAlignment="1">
      <alignment/>
    </xf>
    <xf numFmtId="172" fontId="0" fillId="0" borderId="20" xfId="0" applyNumberFormat="1" applyBorder="1" applyAlignment="1">
      <alignment/>
    </xf>
    <xf numFmtId="172" fontId="0" fillId="0" borderId="21" xfId="0" applyNumberFormat="1" applyBorder="1" applyAlignment="1">
      <alignment/>
    </xf>
    <xf numFmtId="0" fontId="0" fillId="0" borderId="22" xfId="0" applyBorder="1" applyAlignment="1">
      <alignment/>
    </xf>
    <xf numFmtId="0" fontId="0" fillId="0" borderId="23" xfId="0" applyBorder="1" applyAlignment="1">
      <alignment/>
    </xf>
    <xf numFmtId="172" fontId="0" fillId="0" borderId="23" xfId="0" applyNumberFormat="1" applyBorder="1" applyAlignment="1">
      <alignment/>
    </xf>
    <xf numFmtId="172" fontId="0" fillId="0" borderId="22" xfId="0" applyNumberFormat="1" applyBorder="1" applyAlignment="1">
      <alignment/>
    </xf>
    <xf numFmtId="172" fontId="0" fillId="0" borderId="24" xfId="0" applyNumberFormat="1" applyBorder="1" applyAlignment="1">
      <alignment/>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72"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I176" sheet="Pivot Data"/>
  </cacheSource>
  <cacheFields count="9">
    <cacheField name="COUNTRY">
      <sharedItems containsMixedTypes="0" count="175">
        <s v="AFGANISTAN in Persia"/>
        <s v="AFGANISTAN  in Mogul Emp"/>
        <s v="ALBANIA"/>
        <s v="ALGERIA"/>
        <s v="Angola - Kongo kingdom"/>
        <s v="  Portugese Angola"/>
        <s v="Armenia"/>
        <s v="AUSTRIA"/>
        <s v="Austro-Hungarian Emp."/>
        <s v="Azerbaijan"/>
        <s v="Barbados"/>
        <s v="BELGIUM-  Spanish Netherlands"/>
        <s v="BOLIVIA (VR Peru)"/>
        <s v="BRAZIL Portguese"/>
        <s v="BULGARIA"/>
        <s v="Kingdon of Burma Taungoo Dynasty"/>
        <s v=" Arakan - Mrauk-U"/>
        <s v="CAMBODIA "/>
        <s v=" NW area to Thailand"/>
        <s v="Canaries (in Spain)"/>
        <s v="Chad - Bornu Empire"/>
        <s v="Bornu state nigeria - Bornu Empire"/>
        <s v="CHILE  (VR Peru)"/>
        <s v="CHINA (Ming Empire)"/>
        <s v="  Tibet"/>
        <s v="Congo - Luba"/>
        <s v="COLOMBIA (VR Peru)"/>
        <s v="Central America"/>
        <s v="CUBA"/>
        <s v="CYPRUS  (Ottoman 1570:  Br. prot-1878)"/>
        <s v="CZECHOSLOVAKIA"/>
        <s v="DENMARK"/>
        <s v=" Kingdom of Denmark-Norway"/>
        <s v="DOMINICAN REP Hispanolia"/>
        <s v="  Haiti part of Hispanolia"/>
        <s v="ECUADOR  (VR Peru)"/>
        <s v="EGYPT"/>
        <s v="ESTONIA north Sweden part"/>
        <s v="ETHIOPIA "/>
        <s v="  Eritrea"/>
        <s v="FINLAND"/>
        <s v="FRANCE"/>
        <s v="  C of Burgundy"/>
        <s v="Georgia in Ottoman Emp"/>
        <s v="GERMANY"/>
        <s v="  Germany in Holy Roman Empire"/>
        <s v="  Poland in Holy Roman Empire"/>
        <s v="  France in Holy Roman Empire"/>
        <s v="Holy Roman Empire"/>
        <s v="GREECE in Ottoman Emp."/>
        <s v="  Crete in Venice"/>
        <s v="HUNGARY"/>
        <s v=" Hungary in Austro-Hungary"/>
        <s v="  Hungary in Ottoman Emp"/>
        <s v="Iceland"/>
        <s v="INDIA"/>
        <s v="  Mughal Empire"/>
        <s v=" Southern India"/>
        <s v="  Ahmadnagar  nw"/>
        <s v="  Bidar"/>
        <s v="   Bijapur sultanate sw"/>
        <s v="  Golkonda  se"/>
        <s v="   Vijayanagara Empire  s"/>
        <s v="INDONESIA -Dutch East Indies"/>
        <s v="  Ache Sultanate"/>
        <s v="  Riau (in Johar sultanate)"/>
        <s v="  Banten_Sultanate"/>
        <s v="    Lampung part"/>
        <s v="   Mataram Sultanate"/>
        <s v="IRAN - PERSIA"/>
        <s v="IRAQ"/>
        <s v="IRELAND"/>
        <s v="ISRAEL - PALESTINE"/>
        <s v="ITALY"/>
        <s v=" Savoy"/>
        <s v=" Northern Italy states"/>
        <s v="  Milan ( to Spain)"/>
        <s v="  Genoa (includes Corsica)"/>
        <s v="  Corsica"/>
        <s v="  Modena"/>
        <s v="  Venetian Republic"/>
        <s v="  Tuscany (Florence)"/>
        <s v="  Papal State"/>
        <s v="       total north italy area"/>
        <s v="  Sardinia     (to Spain)"/>
        <s v="  kingdom of Naples  (to Spain)"/>
        <s v="  kingdom of Sicily     (to Spain)"/>
        <s v="JAPAN"/>
        <s v="JORDON"/>
        <s v="Kazakh Khanate"/>
        <s v="Khanate of Bukhara"/>
        <s v="KOREA (Joseon Kingdom to 1897)"/>
        <s v="  N Korea area"/>
        <s v="  S Korea area"/>
        <s v="LAOS "/>
        <s v="Lebanon"/>
        <s v="LIBYA"/>
        <s v="MALAYSIA"/>
        <s v="  Pattani_Kingdom"/>
        <s v="  Parak sultanate"/>
        <s v="  Johor sultanate"/>
        <s v="Malawi - Maravi kingdom"/>
        <s v="MEXICO in New Spain"/>
        <s v="Mongolia"/>
        <s v="MOROCCO"/>
        <s v="  Morrocco - Songhai (N Mali)"/>
        <s v="Mozambique - Portugese"/>
        <s v="NEPAL- Kathmandu"/>
        <s v="NETHERLANDS (Dutch Republic)"/>
        <s v="Nigeria - Benin"/>
        <s v="NORWAY"/>
        <s v="Oman"/>
        <s v="OTTOMAN Emp."/>
        <s v="PAKISTAN, W"/>
        <s v="PAKISTAN, E (Bangladesh)"/>
        <s v="Panama (VR Peru)"/>
        <s v="Paraguay  (VR Peru)"/>
        <s v="PERU  (VR Peru)"/>
        <s v="ViceRoyalty of Peru"/>
        <s v="PHILIPPINES (Spanish American Emp.)"/>
        <s v=" Poland in Austo-Hungarian Emp"/>
        <s v="K. Of Poland-Lithuania"/>
        <s v="  Poland in K. of Poland-Lithuania"/>
        <s v="  Latvia in K. of Poland-Lithuania"/>
        <s v="  Lithuania in K. of Poland-Lithuania"/>
        <s v="  Ukraine  in K. of Poland-Lithuania"/>
        <s v="  Belarus  in K. of Poland-Lithuania"/>
        <s v="  Russia in K. of Poland-Lithuania"/>
        <s v="PORTUGAL in Spain"/>
        <s v=" Azores"/>
        <s v="ROMANIA"/>
        <s v="P. Of Transylvania"/>
        <s v=" Romania vassals of Ottomen Emp."/>
        <s v="Tsardom of Russia"/>
        <s v="Senegal - Jolof kingdom"/>
        <s v="SAUDI ARABIA"/>
        <s v="SPAIN"/>
        <s v="  Spanish American Empire"/>
        <s v="  Spanish Empire"/>
        <s v="SRI LANKA -  Portugese Ceylon"/>
        <s v=" Kingdom of Kandy"/>
        <s v="SUDAN "/>
        <s v="  Funj Sultanate of Sennar"/>
        <s v="SWEDEN"/>
        <s v=" Kingdom of Sweden"/>
        <s v="SWITZERLAND"/>
        <s v="SYRIA"/>
        <s v="THAILAND - SIAM Ayutthaya Kingdom"/>
        <s v="  Lan na (north region)"/>
        <s v="  Tanintharyi Region (se)"/>
        <s v="TUNISIA"/>
        <s v="TURKEY"/>
        <s v="  Turkey in Europe"/>
        <s v="  Turkey in Asia"/>
        <s v="Ukraine, south "/>
        <s v="UNITED KINGDOM"/>
        <s v="  Kingdom of England + Wales"/>
        <s v="  Kingdom of Scotland"/>
        <s v="Venezuela in New Spain"/>
        <s v="VIETNAM  "/>
        <s v="VIETNAM Kingdom of Đại Việt"/>
        <s v="   Mac control (Cao Bang)"/>
        <s v="   Trinh control   (n)"/>
        <s v="   Ngunyan control (s)"/>
        <s v="   Champa control  (s)"/>
        <s v="Cochin-China"/>
        <s v="YEMAN"/>
        <s v="Yugoslavia"/>
        <s v="   Slovenia "/>
        <s v="   Croatia (n)"/>
        <s v="   Croatia (s)"/>
        <s v="   Bosnia"/>
        <s v="   Serbia"/>
        <s v="   Montenegro"/>
        <s v="   Macedonia "/>
      </sharedItems>
    </cacheField>
    <cacheField name="Region">
      <sharedItems containsMixedTypes="0" count="4">
        <s v="AS"/>
        <s v="EU"/>
        <s v="AF"/>
        <s v="AM"/>
      </sharedItems>
    </cacheField>
    <cacheField name="(1990 International Geary-Khamis dollars) ">
      <sharedItems containsMixedTypes="1" containsNumber="1" containsInteger="1"/>
    </cacheField>
    <cacheField name="(2005 International dollars)">
      <sharedItems containsMixedTypes="1" containsNumber="1"/>
    </cacheField>
    <cacheField name="gapdata001 v14  Interpolated from 1800 or other later date">
      <sharedItems containsMixedTypes="1" containsNumber="1"/>
    </cacheField>
    <cacheField name="1600 pop(m)">
      <sharedItems containsMixedTypes="1" containsNumber="1"/>
    </cacheField>
    <cacheField name="(2005 B$ International dollars)">
      <sharedItems containsMixedTypes="1" containsNumber="1"/>
    </cacheField>
    <cacheField name="Economic size">
      <sharedItems containsMixedTypes="1" containsNumber="1"/>
    </cacheField>
    <cacheField name="Political  Economy">
      <sharedItems containsBlank="1" containsMixedTypes="1" containsNumber="1" count="84">
        <s v="in Persia"/>
        <s v="in Mogul Emp"/>
        <s v="in Ottoman Emp"/>
        <n v="1.8451817461534141"/>
        <n v="0.3757490778546661"/>
        <s v="in Austro-Hungarian Emp."/>
        <n v="106.40945760955157"/>
        <s v="in Spanish American Empire"/>
        <s v="in Spanish Empire"/>
        <n v="0.37053309529617984"/>
        <n v="22.324155817790068"/>
        <n v="6.044564534177033"/>
        <n v="13.331535734636947"/>
        <s v="inThailand- Ayutthaya Kingdom"/>
        <n v="4.492437037302466"/>
        <m/>
        <n v="1237.8325042083839"/>
        <n v="3.122373873167767"/>
        <n v="0.9341668432150846"/>
        <s v="in K. Of Denmark-Norway"/>
        <n v="13.465976882030759"/>
        <s v="in K. Of Sweden "/>
        <n v="7.284231510643899"/>
        <n v="216.9029970988503"/>
        <n v="170.9826577246242"/>
        <s v="in Venice"/>
        <n v="725.9298978086416"/>
        <n v="7.2054781688486935"/>
        <n v="0.7205478168848694"/>
        <n v="30.983556126049386"/>
        <n v="28.101364858509907"/>
        <n v="36.02739084424347"/>
        <n v="1.9534945908615102"/>
        <s v="in Johar sultanate"/>
        <n v="11.645214238261998"/>
        <n v="11.677331202255369"/>
        <n v="44.41507374676752"/>
        <n v="11.506235378507684"/>
        <n v="16.736342368738452"/>
        <n v="6.656553759140797"/>
        <s v="in Genoa"/>
        <n v="3.9882347772312903"/>
        <n v="29.058329775188366"/>
        <n v="13.2941159241043"/>
        <n v="27.252937644413816"/>
        <n v="193.7650037740694"/>
        <n v="9.5806262093045"/>
        <n v="2.1774150475692045"/>
        <n v="32.85843265231421"/>
        <n v="3.9173501356828435"/>
        <n v="0.4588395602125061"/>
        <n v="0.7653815107654779"/>
        <n v="0.5362535139066098"/>
        <n v="1.580058905973633"/>
        <n v="11.720669765107147"/>
        <n v="2.2962192653024376"/>
        <n v="1.1468317102828511"/>
        <n v="0"/>
        <n v="30.10972594275852"/>
        <n v="3.7544605967894493"/>
        <n v="0.8133815631972205"/>
        <n v="240.4901980907973"/>
        <s v="in India"/>
        <n v="85.5602268050634"/>
        <n v="8.236568578196895"/>
        <n v="118.7997649953758"/>
        <n v="0.9133703881605963"/>
        <n v="53.43225285637658"/>
        <n v="253.75372016823863"/>
        <n v="2.9680857169559594"/>
        <n v="10.65372793910007"/>
        <s v="in Kingdom of Sweden"/>
        <n v="11.386236688074817"/>
        <n v="12.008325649569839"/>
        <n v="13.354580030905797"/>
        <n v="1.9214450202356241"/>
        <s v="in  Siam Ayutthaya "/>
        <n v="57.88787018927216"/>
        <n v="10.096721544640493"/>
        <n v="6.557592444965136"/>
        <n v="0.17162745995967454"/>
        <n v="0.4883277415936454"/>
        <s v="in Cambodia"/>
        <s v="in Ottoman Emp."/>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84" firstHeaderRow="1" firstDataRow="2" firstDataCol="2"/>
  <pivotFields count="9">
    <pivotField axis="axisRow" compact="0" outline="0" subtotalTop="0" showAll="0">
      <items count="176">
        <item x="83"/>
        <item x="67"/>
        <item x="60"/>
        <item x="171"/>
        <item x="164"/>
        <item x="169"/>
        <item x="170"/>
        <item x="161"/>
        <item x="174"/>
        <item x="68"/>
        <item x="173"/>
        <item x="163"/>
        <item x="172"/>
        <item x="168"/>
        <item x="162"/>
        <item x="62"/>
        <item x="64"/>
        <item x="58"/>
        <item x="66"/>
        <item x="126"/>
        <item x="59"/>
        <item x="42"/>
        <item x="78"/>
        <item x="50"/>
        <item x="39"/>
        <item x="47"/>
        <item x="142"/>
        <item x="77"/>
        <item x="45"/>
        <item x="61"/>
        <item x="34"/>
        <item x="53"/>
        <item x="100"/>
        <item x="156"/>
        <item x="85"/>
        <item x="157"/>
        <item x="86"/>
        <item x="148"/>
        <item x="123"/>
        <item x="124"/>
        <item x="76"/>
        <item x="79"/>
        <item x="105"/>
        <item x="56"/>
        <item x="92"/>
        <item x="82"/>
        <item x="99"/>
        <item x="98"/>
        <item x="46"/>
        <item x="122"/>
        <item x="5"/>
        <item x="65"/>
        <item x="127"/>
        <item x="93"/>
        <item x="84"/>
        <item x="137"/>
        <item x="138"/>
        <item x="149"/>
        <item x="24"/>
        <item x="153"/>
        <item x="152"/>
        <item x="81"/>
        <item x="125"/>
        <item x="80"/>
        <item x="16"/>
        <item x="129"/>
        <item x="52"/>
        <item x="32"/>
        <item x="140"/>
        <item x="144"/>
        <item x="75"/>
        <item x="18"/>
        <item x="120"/>
        <item x="132"/>
        <item x="74"/>
        <item x="57"/>
        <item x="1"/>
        <item x="0"/>
        <item x="2"/>
        <item x="3"/>
        <item x="4"/>
        <item x="6"/>
        <item x="7"/>
        <item x="8"/>
        <item x="9"/>
        <item x="10"/>
        <item x="11"/>
        <item x="12"/>
        <item x="21"/>
        <item x="13"/>
        <item x="14"/>
        <item x="17"/>
        <item x="19"/>
        <item x="27"/>
        <item x="20"/>
        <item x="22"/>
        <item x="23"/>
        <item x="165"/>
        <item x="26"/>
        <item x="25"/>
        <item x="28"/>
        <item x="29"/>
        <item x="30"/>
        <item x="31"/>
        <item x="33"/>
        <item x="35"/>
        <item x="36"/>
        <item x="37"/>
        <item x="38"/>
        <item x="40"/>
        <item x="41"/>
        <item x="43"/>
        <item x="44"/>
        <item x="49"/>
        <item x="48"/>
        <item x="51"/>
        <item x="54"/>
        <item x="55"/>
        <item x="63"/>
        <item x="69"/>
        <item x="70"/>
        <item x="71"/>
        <item x="72"/>
        <item x="73"/>
        <item x="87"/>
        <item x="88"/>
        <item x="121"/>
        <item x="89"/>
        <item x="90"/>
        <item x="15"/>
        <item x="91"/>
        <item x="94"/>
        <item x="95"/>
        <item x="96"/>
        <item x="101"/>
        <item x="97"/>
        <item x="102"/>
        <item x="103"/>
        <item x="104"/>
        <item x="106"/>
        <item x="107"/>
        <item x="108"/>
        <item x="109"/>
        <item x="110"/>
        <item x="111"/>
        <item x="112"/>
        <item x="131"/>
        <item x="114"/>
        <item x="113"/>
        <item x="115"/>
        <item x="116"/>
        <item x="117"/>
        <item x="119"/>
        <item x="128"/>
        <item x="130"/>
        <item x="135"/>
        <item x="134"/>
        <item x="136"/>
        <item x="139"/>
        <item x="141"/>
        <item x="143"/>
        <item x="145"/>
        <item x="146"/>
        <item x="147"/>
        <item x="133"/>
        <item x="150"/>
        <item x="151"/>
        <item x="154"/>
        <item x="155"/>
        <item x="158"/>
        <item x="118"/>
        <item x="159"/>
        <item x="160"/>
        <item x="166"/>
        <item x="167"/>
        <item t="default"/>
      </items>
    </pivotField>
    <pivotField axis="axisRow"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dataField="1" compact="0" outline="0" subtotalTop="0" showAll="0"/>
  </pivotFields>
  <rowFields count="2">
    <field x="1"/>
    <field x="0"/>
  </rowFields>
  <rowItems count="180">
    <i>
      <x/>
      <x v="24"/>
    </i>
    <i r="1">
      <x v="26"/>
    </i>
    <i r="1">
      <x v="42"/>
    </i>
    <i r="1">
      <x v="50"/>
    </i>
    <i r="1">
      <x v="79"/>
    </i>
    <i r="1">
      <x v="80"/>
    </i>
    <i r="1">
      <x v="88"/>
    </i>
    <i r="1">
      <x v="94"/>
    </i>
    <i r="1">
      <x v="99"/>
    </i>
    <i r="1">
      <x v="106"/>
    </i>
    <i r="1">
      <x v="108"/>
    </i>
    <i r="1">
      <x v="133"/>
    </i>
    <i r="1">
      <x v="134"/>
    </i>
    <i r="1">
      <x v="138"/>
    </i>
    <i r="1">
      <x v="139"/>
    </i>
    <i r="1">
      <x v="142"/>
    </i>
    <i r="1">
      <x v="156"/>
    </i>
    <i r="1">
      <x v="159"/>
    </i>
    <i r="1">
      <x v="165"/>
    </i>
    <i t="default">
      <x/>
    </i>
    <i>
      <x v="1"/>
      <x v="30"/>
    </i>
    <i r="1">
      <x v="55"/>
    </i>
    <i r="1">
      <x v="85"/>
    </i>
    <i r="1">
      <x v="87"/>
    </i>
    <i r="1">
      <x v="89"/>
    </i>
    <i r="1">
      <x v="93"/>
    </i>
    <i r="1">
      <x v="95"/>
    </i>
    <i r="1">
      <x v="98"/>
    </i>
    <i r="1">
      <x v="100"/>
    </i>
    <i r="1">
      <x v="104"/>
    </i>
    <i r="1">
      <x v="105"/>
    </i>
    <i r="1">
      <x v="136"/>
    </i>
    <i r="1">
      <x v="149"/>
    </i>
    <i r="1">
      <x v="150"/>
    </i>
    <i r="1">
      <x v="151"/>
    </i>
    <i r="1">
      <x v="169"/>
    </i>
    <i r="1">
      <x v="170"/>
    </i>
    <i t="default">
      <x v="1"/>
    </i>
    <i>
      <x v="2"/>
      <x v="1"/>
    </i>
    <i r="1">
      <x v="2"/>
    </i>
    <i r="1">
      <x v="4"/>
    </i>
    <i r="1">
      <x v="7"/>
    </i>
    <i r="1">
      <x v="9"/>
    </i>
    <i r="1">
      <x v="11"/>
    </i>
    <i r="1">
      <x v="14"/>
    </i>
    <i r="1">
      <x v="15"/>
    </i>
    <i r="1">
      <x v="16"/>
    </i>
    <i r="1">
      <x v="17"/>
    </i>
    <i r="1">
      <x v="18"/>
    </i>
    <i r="1">
      <x v="20"/>
    </i>
    <i r="1">
      <x v="29"/>
    </i>
    <i r="1">
      <x v="32"/>
    </i>
    <i r="1">
      <x v="37"/>
    </i>
    <i r="1">
      <x v="43"/>
    </i>
    <i r="1">
      <x v="44"/>
    </i>
    <i r="1">
      <x v="46"/>
    </i>
    <i r="1">
      <x v="47"/>
    </i>
    <i r="1">
      <x v="51"/>
    </i>
    <i r="1">
      <x v="53"/>
    </i>
    <i r="1">
      <x v="57"/>
    </i>
    <i r="1">
      <x v="58"/>
    </i>
    <i r="1">
      <x v="59"/>
    </i>
    <i r="1">
      <x v="64"/>
    </i>
    <i r="1">
      <x v="68"/>
    </i>
    <i r="1">
      <x v="71"/>
    </i>
    <i r="1">
      <x v="75"/>
    </i>
    <i r="1">
      <x v="76"/>
    </i>
    <i r="1">
      <x v="77"/>
    </i>
    <i r="1">
      <x v="81"/>
    </i>
    <i r="1">
      <x v="84"/>
    </i>
    <i r="1">
      <x v="91"/>
    </i>
    <i r="1">
      <x v="96"/>
    </i>
    <i r="1">
      <x v="97"/>
    </i>
    <i r="1">
      <x v="101"/>
    </i>
    <i r="1">
      <x v="111"/>
    </i>
    <i r="1">
      <x v="117"/>
    </i>
    <i r="1">
      <x v="118"/>
    </i>
    <i r="1">
      <x v="119"/>
    </i>
    <i r="1">
      <x v="120"/>
    </i>
    <i r="1">
      <x v="122"/>
    </i>
    <i r="1">
      <x v="124"/>
    </i>
    <i r="1">
      <x v="125"/>
    </i>
    <i r="1">
      <x v="127"/>
    </i>
    <i r="1">
      <x v="128"/>
    </i>
    <i r="1">
      <x v="129"/>
    </i>
    <i r="1">
      <x v="130"/>
    </i>
    <i r="1">
      <x v="131"/>
    </i>
    <i r="1">
      <x v="132"/>
    </i>
    <i r="1">
      <x v="135"/>
    </i>
    <i r="1">
      <x v="137"/>
    </i>
    <i r="1">
      <x v="140"/>
    </i>
    <i r="1">
      <x v="144"/>
    </i>
    <i r="1">
      <x v="145"/>
    </i>
    <i r="1">
      <x v="147"/>
    </i>
    <i r="1">
      <x v="148"/>
    </i>
    <i r="1">
      <x v="152"/>
    </i>
    <i r="1">
      <x v="155"/>
    </i>
    <i r="1">
      <x v="158"/>
    </i>
    <i r="1">
      <x v="162"/>
    </i>
    <i r="1">
      <x v="163"/>
    </i>
    <i r="1">
      <x v="166"/>
    </i>
    <i r="1">
      <x v="171"/>
    </i>
    <i r="1">
      <x v="172"/>
    </i>
    <i r="1">
      <x v="173"/>
    </i>
    <i t="default">
      <x v="2"/>
    </i>
    <i>
      <x v="3"/>
      <x/>
    </i>
    <i r="1">
      <x v="3"/>
    </i>
    <i r="1">
      <x v="5"/>
    </i>
    <i r="1">
      <x v="6"/>
    </i>
    <i r="1">
      <x v="8"/>
    </i>
    <i r="1">
      <x v="10"/>
    </i>
    <i r="1">
      <x v="12"/>
    </i>
    <i r="1">
      <x v="13"/>
    </i>
    <i r="1">
      <x v="19"/>
    </i>
    <i r="1">
      <x v="21"/>
    </i>
    <i r="1">
      <x v="22"/>
    </i>
    <i r="1">
      <x v="23"/>
    </i>
    <i r="1">
      <x v="25"/>
    </i>
    <i r="1">
      <x v="27"/>
    </i>
    <i r="1">
      <x v="28"/>
    </i>
    <i r="1">
      <x v="31"/>
    </i>
    <i r="1">
      <x v="33"/>
    </i>
    <i r="1">
      <x v="34"/>
    </i>
    <i r="1">
      <x v="35"/>
    </i>
    <i r="1">
      <x v="36"/>
    </i>
    <i r="1">
      <x v="38"/>
    </i>
    <i r="1">
      <x v="39"/>
    </i>
    <i r="1">
      <x v="40"/>
    </i>
    <i r="1">
      <x v="41"/>
    </i>
    <i r="1">
      <x v="45"/>
    </i>
    <i r="1">
      <x v="48"/>
    </i>
    <i r="1">
      <x v="49"/>
    </i>
    <i r="1">
      <x v="52"/>
    </i>
    <i r="1">
      <x v="54"/>
    </i>
    <i r="1">
      <x v="56"/>
    </i>
    <i r="1">
      <x v="60"/>
    </i>
    <i r="1">
      <x v="61"/>
    </i>
    <i r="1">
      <x v="62"/>
    </i>
    <i r="1">
      <x v="63"/>
    </i>
    <i r="1">
      <x v="65"/>
    </i>
    <i r="1">
      <x v="66"/>
    </i>
    <i r="1">
      <x v="67"/>
    </i>
    <i r="1">
      <x v="69"/>
    </i>
    <i r="1">
      <x v="70"/>
    </i>
    <i r="1">
      <x v="72"/>
    </i>
    <i r="1">
      <x v="73"/>
    </i>
    <i r="1">
      <x v="74"/>
    </i>
    <i r="1">
      <x v="78"/>
    </i>
    <i r="1">
      <x v="82"/>
    </i>
    <i r="1">
      <x v="83"/>
    </i>
    <i r="1">
      <x v="86"/>
    </i>
    <i r="1">
      <x v="90"/>
    </i>
    <i r="1">
      <x v="92"/>
    </i>
    <i r="1">
      <x v="102"/>
    </i>
    <i r="1">
      <x v="103"/>
    </i>
    <i r="1">
      <x v="107"/>
    </i>
    <i r="1">
      <x v="109"/>
    </i>
    <i r="1">
      <x v="110"/>
    </i>
    <i r="1">
      <x v="112"/>
    </i>
    <i r="1">
      <x v="113"/>
    </i>
    <i r="1">
      <x v="114"/>
    </i>
    <i r="1">
      <x v="115"/>
    </i>
    <i r="1">
      <x v="116"/>
    </i>
    <i r="1">
      <x v="121"/>
    </i>
    <i r="1">
      <x v="123"/>
    </i>
    <i r="1">
      <x v="126"/>
    </i>
    <i r="1">
      <x v="141"/>
    </i>
    <i r="1">
      <x v="143"/>
    </i>
    <i r="1">
      <x v="146"/>
    </i>
    <i r="1">
      <x v="153"/>
    </i>
    <i r="1">
      <x v="154"/>
    </i>
    <i r="1">
      <x v="157"/>
    </i>
    <i r="1">
      <x v="160"/>
    </i>
    <i r="1">
      <x v="161"/>
    </i>
    <i r="1">
      <x v="164"/>
    </i>
    <i r="1">
      <x v="167"/>
    </i>
    <i r="1">
      <x v="168"/>
    </i>
    <i r="1">
      <x v="174"/>
    </i>
    <i t="default">
      <x v="3"/>
    </i>
    <i t="grand">
      <x/>
    </i>
  </rowItems>
  <colFields count="1">
    <field x="-2"/>
  </colFields>
  <colItems count="3">
    <i>
      <x/>
    </i>
    <i i="1">
      <x v="1"/>
    </i>
    <i i="2">
      <x v="2"/>
    </i>
  </colItems>
  <dataFields count="3">
    <dataField name="1600 pop (m)" fld="5" baseField="0" baseItem="0" numFmtId="172"/>
    <dataField name="Economic  size" fld="7" baseField="0" baseItem="0" numFmtId="172"/>
    <dataField name=" Political  Economy" fld="8" baseField="0" baseItem="0" numFmtId="172"/>
  </dataFields>
  <formats count="7">
    <format dxfId="0">
      <pivotArea outline="0" fieldPosition="0">
        <references count="1">
          <reference field="4294967294" count="1">
            <x v="0"/>
          </reference>
        </references>
      </pivotArea>
    </format>
    <format dxfId="0">
      <pivotArea outline="0" fieldPosition="0" axis="axisCol" dataOnly="0" field="-2" labelOnly="1" type="button"/>
    </format>
    <format dxfId="0">
      <pivotArea outline="0" fieldPosition="0" dataOnly="0" labelOnly="1">
        <references count="1">
          <reference field="4294967294" count="1">
            <x v="0"/>
          </reference>
        </references>
      </pivotArea>
    </format>
    <format dxfId="0">
      <pivotArea outline="0" fieldPosition="0">
        <references count="1">
          <reference field="4294967294" count="1">
            <x v="1"/>
          </reference>
        </references>
      </pivotArea>
    </format>
    <format dxfId="0">
      <pivotArea outline="0" fieldPosition="0" dataOnly="0" labelOnly="1" type="topRight"/>
    </format>
    <format dxfId="0">
      <pivotArea outline="0" fieldPosition="0" dataOnly="0" labelOnly="1">
        <references count="1">
          <reference field="4294967294" count="1">
            <x v="1"/>
          </reference>
        </references>
      </pivotArea>
    </format>
    <format dxfId="0">
      <pivotArea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40" firstHeaderRow="2" firstDataRow="2" firstDataCol="1" rowPageCount="1" colPageCount="1"/>
  <pivotFields count="9">
    <pivotField axis="axisRow" compact="0" outline="0" subtotalTop="0" showAll="0" sortType="descending">
      <items count="176">
        <item x="83"/>
        <item x="67"/>
        <item x="60"/>
        <item x="171"/>
        <item x="164"/>
        <item x="169"/>
        <item x="170"/>
        <item x="161"/>
        <item x="174"/>
        <item x="68"/>
        <item x="173"/>
        <item x="163"/>
        <item x="172"/>
        <item x="168"/>
        <item x="162"/>
        <item x="62"/>
        <item x="64"/>
        <item x="58"/>
        <item x="66"/>
        <item x="126"/>
        <item x="59"/>
        <item x="42"/>
        <item x="78"/>
        <item x="50"/>
        <item x="39"/>
        <item x="47"/>
        <item x="142"/>
        <item x="77"/>
        <item x="45"/>
        <item x="61"/>
        <item x="34"/>
        <item x="53"/>
        <item x="100"/>
        <item x="156"/>
        <item x="85"/>
        <item x="157"/>
        <item x="86"/>
        <item x="148"/>
        <item x="123"/>
        <item x="124"/>
        <item x="76"/>
        <item x="79"/>
        <item x="105"/>
        <item x="56"/>
        <item x="92"/>
        <item x="82"/>
        <item x="99"/>
        <item x="98"/>
        <item x="46"/>
        <item x="122"/>
        <item x="5"/>
        <item x="65"/>
        <item x="127"/>
        <item x="93"/>
        <item x="84"/>
        <item x="137"/>
        <item x="138"/>
        <item x="149"/>
        <item x="24"/>
        <item x="153"/>
        <item x="152"/>
        <item x="81"/>
        <item x="125"/>
        <item x="80"/>
        <item x="16"/>
        <item x="129"/>
        <item x="52"/>
        <item x="32"/>
        <item x="140"/>
        <item x="144"/>
        <item x="75"/>
        <item x="18"/>
        <item x="120"/>
        <item x="132"/>
        <item x="74"/>
        <item x="57"/>
        <item x="1"/>
        <item x="0"/>
        <item x="2"/>
        <item x="3"/>
        <item x="4"/>
        <item x="6"/>
        <item x="7"/>
        <item x="8"/>
        <item x="9"/>
        <item x="10"/>
        <item x="11"/>
        <item x="12"/>
        <item x="21"/>
        <item x="13"/>
        <item x="14"/>
        <item x="17"/>
        <item x="19"/>
        <item x="27"/>
        <item x="20"/>
        <item x="22"/>
        <item x="23"/>
        <item x="165"/>
        <item x="26"/>
        <item x="25"/>
        <item x="28"/>
        <item x="29"/>
        <item x="30"/>
        <item x="31"/>
        <item x="33"/>
        <item x="35"/>
        <item x="36"/>
        <item x="37"/>
        <item x="38"/>
        <item x="40"/>
        <item x="41"/>
        <item x="43"/>
        <item x="44"/>
        <item x="49"/>
        <item x="48"/>
        <item x="51"/>
        <item x="54"/>
        <item x="55"/>
        <item x="63"/>
        <item x="69"/>
        <item x="70"/>
        <item x="71"/>
        <item x="72"/>
        <item x="73"/>
        <item x="87"/>
        <item x="88"/>
        <item x="121"/>
        <item x="89"/>
        <item x="90"/>
        <item x="15"/>
        <item x="91"/>
        <item x="94"/>
        <item x="95"/>
        <item x="96"/>
        <item x="101"/>
        <item x="97"/>
        <item x="102"/>
        <item x="103"/>
        <item x="104"/>
        <item x="106"/>
        <item x="107"/>
        <item x="108"/>
        <item x="109"/>
        <item x="110"/>
        <item x="111"/>
        <item x="112"/>
        <item x="131"/>
        <item x="114"/>
        <item x="113"/>
        <item x="115"/>
        <item x="116"/>
        <item x="117"/>
        <item x="119"/>
        <item x="128"/>
        <item x="130"/>
        <item x="135"/>
        <item x="134"/>
        <item x="136"/>
        <item x="139"/>
        <item x="141"/>
        <item x="143"/>
        <item x="145"/>
        <item x="146"/>
        <item x="147"/>
        <item x="133"/>
        <item x="150"/>
        <item x="151"/>
        <item x="154"/>
        <item x="155"/>
        <item x="158"/>
        <item x="118"/>
        <item x="159"/>
        <item x="160"/>
        <item x="166"/>
        <item x="16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dataField="1" compact="0" outline="0" subtotalTop="0" showAll="0">
      <items count="85">
        <item h="1" x="57"/>
        <item h="1" x="80"/>
        <item h="1" x="9"/>
        <item h="1" x="4"/>
        <item h="1" x="50"/>
        <item h="1" x="81"/>
        <item h="1" x="52"/>
        <item h="1" x="28"/>
        <item h="1" x="51"/>
        <item h="1" x="60"/>
        <item h="1" x="66"/>
        <item h="1" x="18"/>
        <item h="1" x="56"/>
        <item h="1" x="53"/>
        <item h="1" x="3"/>
        <item h="1" x="75"/>
        <item h="1" x="32"/>
        <item h="1" x="47"/>
        <item h="1" x="55"/>
        <item h="1" x="69"/>
        <item h="1" x="17"/>
        <item h="1" x="59"/>
        <item h="1" x="49"/>
        <item h="1" x="41"/>
        <item h="1" x="14"/>
        <item h="1" x="11"/>
        <item h="1" x="79"/>
        <item h="1" x="39"/>
        <item h="1" x="27"/>
        <item h="1" x="22"/>
        <item h="1" x="64"/>
        <item x="46"/>
        <item x="78"/>
        <item x="70"/>
        <item x="72"/>
        <item x="37"/>
        <item x="34"/>
        <item x="35"/>
        <item x="54"/>
        <item x="73"/>
        <item x="43"/>
        <item x="12"/>
        <item x="74"/>
        <item x="20"/>
        <item x="38"/>
        <item x="10"/>
        <item x="44"/>
        <item x="30"/>
        <item x="42"/>
        <item x="58"/>
        <item x="29"/>
        <item x="48"/>
        <item x="31"/>
        <item x="36"/>
        <item x="67"/>
        <item x="77"/>
        <item x="63"/>
        <item x="6"/>
        <item x="65"/>
        <item x="24"/>
        <item x="45"/>
        <item x="23"/>
        <item x="61"/>
        <item x="68"/>
        <item x="26"/>
        <item x="16"/>
        <item h="1" x="76"/>
        <item h="1" x="5"/>
        <item h="1" x="82"/>
        <item h="1" x="40"/>
        <item h="1" x="62"/>
        <item h="1" x="33"/>
        <item h="1" x="19"/>
        <item h="1" x="21"/>
        <item h="1" x="71"/>
        <item h="1" x="1"/>
        <item h="1" x="2"/>
        <item h="1" x="83"/>
        <item h="1" x="0"/>
        <item h="1" x="7"/>
        <item h="1" x="8"/>
        <item h="1" x="25"/>
        <item h="1" x="13"/>
        <item h="1" x="15"/>
        <item t="default"/>
      </items>
    </pivotField>
  </pivotFields>
  <rowFields count="1">
    <field x="0"/>
  </rowFields>
  <rowItems count="36">
    <i>
      <x v="96"/>
    </i>
    <i>
      <x v="43"/>
    </i>
    <i>
      <x v="56"/>
    </i>
    <i>
      <x v="145"/>
    </i>
    <i>
      <x v="110"/>
    </i>
    <i>
      <x v="124"/>
    </i>
    <i>
      <x v="28"/>
    </i>
    <i>
      <x v="164"/>
    </i>
    <i>
      <x v="83"/>
    </i>
    <i>
      <x v="126"/>
    </i>
    <i>
      <x v="33"/>
    </i>
    <i>
      <x v="55"/>
    </i>
    <i>
      <x v="119"/>
    </i>
    <i>
      <x v="15"/>
    </i>
    <i>
      <x v="130"/>
    </i>
    <i>
      <x v="2"/>
    </i>
    <i>
      <x v="141"/>
    </i>
    <i>
      <x v="63"/>
    </i>
    <i>
      <x v="29"/>
    </i>
    <i>
      <x v="45"/>
    </i>
    <i>
      <x v="129"/>
    </i>
    <i>
      <x v="74"/>
    </i>
    <i>
      <x v="67"/>
    </i>
    <i>
      <x v="163"/>
    </i>
    <i>
      <x v="91"/>
    </i>
    <i>
      <x v="61"/>
    </i>
    <i>
      <x v="161"/>
    </i>
    <i>
      <x v="138"/>
    </i>
    <i>
      <x v="9"/>
    </i>
    <i>
      <x v="18"/>
    </i>
    <i>
      <x v="121"/>
    </i>
    <i>
      <x v="69"/>
    </i>
    <i>
      <x v="26"/>
    </i>
    <i>
      <x v="35"/>
    </i>
    <i>
      <x v="127"/>
    </i>
    <i t="grand">
      <x/>
    </i>
  </rowItems>
  <colItems count="1">
    <i/>
  </colItems>
  <pageFields count="1">
    <pageField fld="8" hier="0"/>
  </pageFields>
  <dataFields count="1">
    <dataField name="Political  Economy size" fld="8" baseField="0" baseItem="0" numFmtId="172"/>
  </dataFields>
  <formats count="3">
    <format dxfId="0">
      <pivotArea outline="0" fieldPosition="0"/>
    </format>
    <format dxfId="0">
      <pivotArea outline="0" fieldPosition="0" dataOnly="0" labelOnly="1">
        <references count="1">
          <reference field="8" count="0"/>
        </references>
      </pivotArea>
    </format>
    <format dxfId="0">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wikipedia.org/wiki/List_of_countries_by_population_in_1600" TargetMode="External" /><Relationship Id="rId2" Type="http://schemas.openxmlformats.org/officeDocument/2006/relationships/hyperlink" Target="http://www.tacitus.nu/historical-atla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P199"/>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C3" sqref="C3"/>
    </sheetView>
  </sheetViews>
  <sheetFormatPr defaultColWidth="9.140625" defaultRowHeight="12.75"/>
  <cols>
    <col min="1" max="1" width="25.140625" style="0" customWidth="1"/>
    <col min="2" max="2" width="9.140625" style="0" customWidth="1"/>
    <col min="3" max="3" width="10.140625" style="0" customWidth="1"/>
    <col min="4" max="4" width="11.00390625" style="0" customWidth="1"/>
    <col min="5" max="5" width="8.421875" style="0" customWidth="1"/>
    <col min="6" max="6" width="10.7109375" style="0" customWidth="1"/>
    <col min="7" max="7" width="13.28125" style="0" customWidth="1"/>
    <col min="9" max="9" width="15.140625" style="0" customWidth="1"/>
    <col min="10" max="10" width="13.57421875" style="0" customWidth="1"/>
  </cols>
  <sheetData>
    <row r="1" spans="1:11" ht="12.75">
      <c r="A1" s="13" t="s">
        <v>287</v>
      </c>
      <c r="B1" s="13" t="s">
        <v>207</v>
      </c>
      <c r="C1" s="13" t="s">
        <v>285</v>
      </c>
      <c r="D1" s="1" t="s">
        <v>1</v>
      </c>
      <c r="E1" s="1"/>
      <c r="F1" s="13" t="s">
        <v>286</v>
      </c>
      <c r="G1" s="13" t="s">
        <v>1</v>
      </c>
      <c r="H1" s="13" t="s">
        <v>289</v>
      </c>
      <c r="I1" s="13" t="s">
        <v>290</v>
      </c>
      <c r="J1" s="13"/>
      <c r="K1" s="13"/>
    </row>
    <row r="2" spans="1:11" ht="12.75">
      <c r="A2" s="1"/>
      <c r="B2" s="13"/>
      <c r="C2" s="1" t="s">
        <v>218</v>
      </c>
      <c r="D2" s="13" t="s">
        <v>219</v>
      </c>
      <c r="E2" s="13" t="s">
        <v>221</v>
      </c>
      <c r="F2" s="13" t="s">
        <v>220</v>
      </c>
      <c r="G2" s="13" t="s">
        <v>291</v>
      </c>
      <c r="H2" s="13"/>
      <c r="I2" s="13"/>
      <c r="J2" s="13"/>
      <c r="K2" s="13"/>
    </row>
    <row r="3" spans="1:10" ht="12.75">
      <c r="A3" s="6" t="s">
        <v>64</v>
      </c>
      <c r="B3" s="13" t="s">
        <v>208</v>
      </c>
      <c r="C3" s="4"/>
      <c r="D3" s="4">
        <f>D$59</f>
        <v>597</v>
      </c>
      <c r="E3" s="4">
        <f>472*(700/666)</f>
        <v>496.0960960960961</v>
      </c>
      <c r="F3" s="2">
        <v>1</v>
      </c>
      <c r="G3" s="1">
        <f>E3*F3/1000</f>
        <v>0.4960960960960961</v>
      </c>
      <c r="H3" s="1">
        <f aca="true" t="shared" si="0" ref="H3:H10">G3*H$184/G$184</f>
        <v>5.1833984559026565</v>
      </c>
      <c r="I3" s="6" t="s">
        <v>61</v>
      </c>
      <c r="J3" s="9"/>
    </row>
    <row r="4" spans="1:10" ht="12.75">
      <c r="A4" s="6" t="s">
        <v>65</v>
      </c>
      <c r="B4" s="13" t="s">
        <v>208</v>
      </c>
      <c r="C4" s="4"/>
      <c r="D4" s="4"/>
      <c r="E4" s="4"/>
      <c r="F4" s="2">
        <v>1.5</v>
      </c>
      <c r="G4" s="1">
        <f>E3*F4/1000</f>
        <v>0.7441441441441442</v>
      </c>
      <c r="H4" s="1">
        <f t="shared" si="0"/>
        <v>7.775097683853985</v>
      </c>
      <c r="I4" s="6" t="s">
        <v>66</v>
      </c>
      <c r="J4" s="9"/>
    </row>
    <row r="5" spans="1:10" ht="12.75">
      <c r="A5" s="1" t="s">
        <v>2</v>
      </c>
      <c r="B5" s="13" t="s">
        <v>210</v>
      </c>
      <c r="C5" s="4">
        <v>548</v>
      </c>
      <c r="D5" s="4">
        <f>C5*41074/30481</f>
        <v>738.4453265968964</v>
      </c>
      <c r="E5" s="4">
        <f>601*(727/934)</f>
        <v>467.8019271948608</v>
      </c>
      <c r="F5" s="2">
        <v>0.2</v>
      </c>
      <c r="G5" s="1">
        <f>E5*F5/1000</f>
        <v>0.09356038543897216</v>
      </c>
      <c r="H5" s="1">
        <f t="shared" si="0"/>
        <v>0.9775540691295553</v>
      </c>
      <c r="I5" s="6" t="s">
        <v>62</v>
      </c>
      <c r="J5" s="9"/>
    </row>
    <row r="6" spans="1:10" ht="12.75">
      <c r="A6" s="1" t="s">
        <v>3</v>
      </c>
      <c r="B6" s="13" t="s">
        <v>209</v>
      </c>
      <c r="C6" s="4"/>
      <c r="D6" s="4">
        <v>600</v>
      </c>
      <c r="E6" s="4">
        <f>766</f>
        <v>766</v>
      </c>
      <c r="F6" s="2">
        <v>2.25</v>
      </c>
      <c r="G6" s="1">
        <f>E6*F6/1000</f>
        <v>1.7235</v>
      </c>
      <c r="H6" s="1">
        <f t="shared" si="0"/>
        <v>18.007775729438013</v>
      </c>
      <c r="I6" s="6" t="s">
        <v>62</v>
      </c>
      <c r="J6" s="9"/>
    </row>
    <row r="7" spans="1:10" ht="12.75">
      <c r="A7" s="13" t="s">
        <v>204</v>
      </c>
      <c r="B7" s="13" t="s">
        <v>209</v>
      </c>
      <c r="C7" s="4"/>
      <c r="D7" s="4">
        <f>D$112</f>
        <v>498</v>
      </c>
      <c r="E7" s="4">
        <v>360</v>
      </c>
      <c r="F7" s="2">
        <v>0.49</v>
      </c>
      <c r="G7" s="1">
        <f>E7*F7/1000</f>
        <v>0.1764</v>
      </c>
      <c r="H7" s="1">
        <f t="shared" si="0"/>
        <v>1.8430934950234208</v>
      </c>
      <c r="I7" s="1">
        <f>H7</f>
        <v>1.8430934950234208</v>
      </c>
      <c r="J7" s="9"/>
    </row>
    <row r="8" spans="1:10" ht="12.75">
      <c r="A8" s="13" t="s">
        <v>212</v>
      </c>
      <c r="B8" s="13" t="s">
        <v>209</v>
      </c>
      <c r="C8" s="4"/>
      <c r="D8" s="4">
        <f>D$112</f>
        <v>498</v>
      </c>
      <c r="E8" s="4">
        <v>360</v>
      </c>
      <c r="F8" s="2">
        <f>3/15*8.5*(0.27/4.6)</f>
        <v>0.0997826086956522</v>
      </c>
      <c r="G8" s="1">
        <f>E8*F8/1000</f>
        <v>0.035921739130434796</v>
      </c>
      <c r="H8" s="1">
        <f t="shared" si="0"/>
        <v>0.37532383061923263</v>
      </c>
      <c r="I8" s="1">
        <f>H8</f>
        <v>0.37532383061923263</v>
      </c>
      <c r="J8" s="9"/>
    </row>
    <row r="9" spans="1:12" ht="12.75">
      <c r="A9" s="13" t="s">
        <v>182</v>
      </c>
      <c r="B9" s="13" t="s">
        <v>208</v>
      </c>
      <c r="C9" s="4"/>
      <c r="D9" s="4">
        <f>C$141*1.441</f>
        <v>795.432</v>
      </c>
      <c r="E9" s="4">
        <f>378*(600/638)</f>
        <v>355.4858934169279</v>
      </c>
      <c r="F9" s="2">
        <v>0.25</v>
      </c>
      <c r="G9" s="1">
        <f>E9*F9/1000</f>
        <v>0.08887147335423198</v>
      </c>
      <c r="H9" s="1">
        <f t="shared" si="0"/>
        <v>0.9285625534712711</v>
      </c>
      <c r="I9" s="6" t="s">
        <v>62</v>
      </c>
      <c r="J9" s="9"/>
      <c r="L9" s="6" t="s">
        <v>136</v>
      </c>
    </row>
    <row r="10" spans="1:13" ht="12.75">
      <c r="A10" s="1" t="s">
        <v>4</v>
      </c>
      <c r="B10" s="13" t="s">
        <v>210</v>
      </c>
      <c r="C10" s="4">
        <v>837</v>
      </c>
      <c r="D10" s="4">
        <v>1212</v>
      </c>
      <c r="E10" s="4"/>
      <c r="F10" s="2">
        <v>2.5</v>
      </c>
      <c r="G10" s="1">
        <f>D10*F10/1000</f>
        <v>3.03</v>
      </c>
      <c r="H10" s="1">
        <f t="shared" si="0"/>
        <v>31.65857874104855</v>
      </c>
      <c r="I10" s="6" t="s">
        <v>68</v>
      </c>
      <c r="L10">
        <v>2.5</v>
      </c>
      <c r="M10" s="7" t="s">
        <v>132</v>
      </c>
    </row>
    <row r="11" spans="1:13" ht="12.75">
      <c r="A11" s="6" t="s">
        <v>5</v>
      </c>
      <c r="B11" s="13" t="s">
        <v>210</v>
      </c>
      <c r="C11" s="4"/>
      <c r="D11" s="4"/>
      <c r="E11" s="4"/>
      <c r="F11" s="2">
        <v>8</v>
      </c>
      <c r="G11" s="1"/>
      <c r="I11" s="1">
        <f>H10+H34+H56+H128+H176+H177</f>
        <v>106.28903062692052</v>
      </c>
      <c r="L11">
        <v>4.5</v>
      </c>
      <c r="M11" s="7" t="s">
        <v>133</v>
      </c>
    </row>
    <row r="12" spans="1:13" ht="12.75">
      <c r="A12" s="13" t="s">
        <v>174</v>
      </c>
      <c r="B12" s="13" t="s">
        <v>208</v>
      </c>
      <c r="C12" s="4"/>
      <c r="D12" s="4">
        <f>C$141*1.441</f>
        <v>795.432</v>
      </c>
      <c r="E12" s="4">
        <f>477*552/675</f>
        <v>390.08</v>
      </c>
      <c r="F12" s="2">
        <v>0.5</v>
      </c>
      <c r="G12" s="1">
        <f>E12*F12/1000</f>
        <v>0.19504</v>
      </c>
      <c r="H12" s="1">
        <f>G12*H$184/G$184</f>
        <v>2.037851220347891</v>
      </c>
      <c r="I12" s="6" t="s">
        <v>62</v>
      </c>
      <c r="L12">
        <v>0.25</v>
      </c>
      <c r="M12" s="7" t="s">
        <v>134</v>
      </c>
    </row>
    <row r="13" spans="1:13" ht="12.75">
      <c r="A13" s="6" t="s">
        <v>6</v>
      </c>
      <c r="B13" s="13" t="s">
        <v>211</v>
      </c>
      <c r="C13" s="4"/>
      <c r="D13" s="4">
        <f>D$16</f>
        <v>585.1668908500377</v>
      </c>
      <c r="E13" s="4">
        <f>1018*438/663</f>
        <v>672.5248868778281</v>
      </c>
      <c r="F13" s="2">
        <v>0.04</v>
      </c>
      <c r="G13" s="1">
        <f>E13*F13/1000</f>
        <v>0.026900995475113123</v>
      </c>
      <c r="H13" s="1">
        <f>G13*H$184/G$184</f>
        <v>0.281071710713353</v>
      </c>
      <c r="I13" s="6" t="s">
        <v>72</v>
      </c>
      <c r="L13">
        <v>0.5</v>
      </c>
      <c r="M13" s="7" t="s">
        <v>135</v>
      </c>
    </row>
    <row r="14" spans="1:13" ht="12.75">
      <c r="A14" s="6" t="s">
        <v>76</v>
      </c>
      <c r="B14" s="13" t="s">
        <v>210</v>
      </c>
      <c r="C14" s="4">
        <v>976</v>
      </c>
      <c r="D14" s="4">
        <v>1360</v>
      </c>
      <c r="E14" s="4"/>
      <c r="F14" s="2">
        <v>2</v>
      </c>
      <c r="G14" s="1">
        <f>D14*F14/1000</f>
        <v>2.72</v>
      </c>
      <c r="H14" s="1">
        <f>G14*H$184/G$184</f>
        <v>28.4195822361888</v>
      </c>
      <c r="I14" s="6" t="s">
        <v>78</v>
      </c>
      <c r="L14">
        <v>0.25</v>
      </c>
      <c r="M14" s="7" t="s">
        <v>52</v>
      </c>
    </row>
    <row r="15" spans="1:13" ht="12.75">
      <c r="A15" s="13" t="s">
        <v>229</v>
      </c>
      <c r="B15" s="13" t="s">
        <v>211</v>
      </c>
      <c r="C15" s="4"/>
      <c r="D15" s="4"/>
      <c r="E15" s="4">
        <f>695*438/663</f>
        <v>459.14027149321265</v>
      </c>
      <c r="F15" s="2">
        <v>0.7</v>
      </c>
      <c r="G15" s="1">
        <f>E15*F15/1000</f>
        <v>0.32139819004524883</v>
      </c>
      <c r="H15" s="1"/>
      <c r="I15" s="6" t="s">
        <v>72</v>
      </c>
      <c r="M15" s="7"/>
    </row>
    <row r="16" spans="1:9" ht="12.75">
      <c r="A16" s="6" t="s">
        <v>71</v>
      </c>
      <c r="B16" s="13" t="s">
        <v>211</v>
      </c>
      <c r="C16" s="4">
        <v>428</v>
      </c>
      <c r="D16" s="4">
        <f>C16*41674/30481</f>
        <v>585.1668908500377</v>
      </c>
      <c r="E16" s="4">
        <f>509*428/615</f>
        <v>354.2308943089431</v>
      </c>
      <c r="F16" s="2">
        <v>0.1</v>
      </c>
      <c r="G16" s="1">
        <f>E16*F16/1000</f>
        <v>0.03542308943089432</v>
      </c>
      <c r="H16" s="1">
        <f aca="true" t="shared" si="1" ref="H16:H24">G16*H$184/G$184</f>
        <v>0.37011375115484235</v>
      </c>
      <c r="I16" s="1">
        <f>H16</f>
        <v>0.37011375115484235</v>
      </c>
    </row>
    <row r="17" spans="1:9" ht="12.75">
      <c r="A17" s="1" t="s">
        <v>7</v>
      </c>
      <c r="B17" s="13" t="s">
        <v>210</v>
      </c>
      <c r="C17" s="4">
        <v>548</v>
      </c>
      <c r="D17" s="4">
        <f>C17*41074/30481</f>
        <v>738.4453265968964</v>
      </c>
      <c r="E17" s="4">
        <f>636*548/670</f>
        <v>520.1910447761194</v>
      </c>
      <c r="F17" s="2">
        <v>1.25</v>
      </c>
      <c r="G17" s="1">
        <f>E17*F17/1000</f>
        <v>0.6502388059701492</v>
      </c>
      <c r="H17" s="1">
        <f t="shared" si="1"/>
        <v>6.79393941890804</v>
      </c>
      <c r="I17" s="6" t="s">
        <v>62</v>
      </c>
    </row>
    <row r="18" spans="1:10" ht="12.75">
      <c r="A18" s="13" t="s">
        <v>121</v>
      </c>
      <c r="B18" s="13" t="s">
        <v>208</v>
      </c>
      <c r="C18" s="4"/>
      <c r="D18" s="4">
        <f>D$59</f>
        <v>597</v>
      </c>
      <c r="E18" s="4">
        <f>569*597/573</f>
        <v>592.8324607329843</v>
      </c>
      <c r="F18" s="2">
        <v>3.6</v>
      </c>
      <c r="G18" s="1">
        <f>E18*F18/1000</f>
        <v>2.1341968586387434</v>
      </c>
      <c r="H18" s="1">
        <f t="shared" si="1"/>
        <v>22.29889085746308</v>
      </c>
      <c r="I18" s="1">
        <f>H18</f>
        <v>22.29889085746308</v>
      </c>
      <c r="J18" t="s">
        <v>216</v>
      </c>
    </row>
    <row r="19" spans="1:9" ht="12.75">
      <c r="A19" s="13" t="s">
        <v>122</v>
      </c>
      <c r="B19" s="13" t="s">
        <v>208</v>
      </c>
      <c r="C19" s="4"/>
      <c r="D19" s="4">
        <f>D$59</f>
        <v>597</v>
      </c>
      <c r="E19" s="4">
        <f>(654+E18)/2</f>
        <v>623.4162303664921</v>
      </c>
      <c r="F19" s="2">
        <f>(1/14.667)*4.5+(1.35/28.93)*23/225*130</f>
        <v>0.9269287338966536</v>
      </c>
      <c r="G19" s="1">
        <f>E19*F19/1000</f>
        <v>0.577862417104237</v>
      </c>
      <c r="H19" s="1">
        <f t="shared" si="1"/>
        <v>6.0377237073884915</v>
      </c>
      <c r="I19" s="1">
        <f>H19</f>
        <v>6.0377237073884915</v>
      </c>
    </row>
    <row r="20" spans="1:9" ht="12.75">
      <c r="A20" s="13" t="s">
        <v>151</v>
      </c>
      <c r="B20" s="13" t="s">
        <v>208</v>
      </c>
      <c r="C20" s="4"/>
      <c r="D20" s="4">
        <f>D$59</f>
        <v>597</v>
      </c>
      <c r="E20" s="4">
        <f>708</f>
        <v>708</v>
      </c>
      <c r="F20" s="2">
        <v>1.67</v>
      </c>
      <c r="G20" s="1">
        <f>E20*F20/1000-G21</f>
        <v>1.0002126486486485</v>
      </c>
      <c r="H20" s="1">
        <f t="shared" si="1"/>
        <v>10.450597655127382</v>
      </c>
      <c r="I20" s="6">
        <f>H20+H173</f>
        <v>12.551343946251972</v>
      </c>
    </row>
    <row r="21" spans="1:9" ht="12.75">
      <c r="A21" s="13" t="s">
        <v>261</v>
      </c>
      <c r="B21" s="13" t="s">
        <v>208</v>
      </c>
      <c r="C21" s="4"/>
      <c r="D21" s="4"/>
      <c r="E21" s="4">
        <v>708</v>
      </c>
      <c r="F21" s="2">
        <f>(0.36+0.21)/3.7*F20</f>
        <v>0.2572702702702702</v>
      </c>
      <c r="G21" s="1">
        <f>E21*F21/1000</f>
        <v>0.18214735135135132</v>
      </c>
      <c r="H21" s="1">
        <f t="shared" si="1"/>
        <v>1.9031439819241558</v>
      </c>
      <c r="I21" s="13" t="s">
        <v>262</v>
      </c>
    </row>
    <row r="22" spans="1:9" ht="12.75">
      <c r="A22" s="13" t="s">
        <v>250</v>
      </c>
      <c r="B22" s="13" t="s">
        <v>210</v>
      </c>
      <c r="C22" s="4"/>
      <c r="D22" s="4">
        <f>D144</f>
        <v>1413</v>
      </c>
      <c r="E22" s="4"/>
      <c r="F22" s="2">
        <v>0.05</v>
      </c>
      <c r="G22" s="1">
        <f>D22*F22/1000</f>
        <v>0.07065</v>
      </c>
      <c r="H22" s="1">
        <f t="shared" si="1"/>
        <v>0.7381777518333599</v>
      </c>
      <c r="I22" s="6" t="s">
        <v>78</v>
      </c>
    </row>
    <row r="23" spans="1:9" ht="12.75">
      <c r="A23" s="13" t="s">
        <v>197</v>
      </c>
      <c r="B23" s="13" t="s">
        <v>209</v>
      </c>
      <c r="C23" s="4"/>
      <c r="D23" s="4">
        <f>D$112</f>
        <v>498</v>
      </c>
      <c r="E23" s="4">
        <v>401</v>
      </c>
      <c r="F23" s="2">
        <f>3.5*(0.67/5.3)</f>
        <v>0.44245283018867926</v>
      </c>
      <c r="G23" s="1">
        <f>E23*F23/1000</f>
        <v>0.1774235849056604</v>
      </c>
      <c r="H23" s="1">
        <f t="shared" si="1"/>
        <v>1.8537882948036182</v>
      </c>
      <c r="I23" s="6">
        <f>H23+H24</f>
        <v>4.487352802787829</v>
      </c>
    </row>
    <row r="24" spans="1:9" ht="12.75">
      <c r="A24" s="13" t="s">
        <v>199</v>
      </c>
      <c r="B24" s="13" t="s">
        <v>209</v>
      </c>
      <c r="C24" s="4"/>
      <c r="D24" s="4">
        <f>D$112</f>
        <v>498</v>
      </c>
      <c r="E24" s="4">
        <v>576</v>
      </c>
      <c r="F24" s="2">
        <f>1.118/19.928*14*(19.5/35)</f>
        <v>0.43759534323564836</v>
      </c>
      <c r="G24" s="1">
        <f>E24*F24/1000</f>
        <v>0.25205491770373345</v>
      </c>
      <c r="H24" s="1">
        <f t="shared" si="1"/>
        <v>2.6335645079842105</v>
      </c>
      <c r="I24" s="6"/>
    </row>
    <row r="25" spans="1:12" ht="12.75">
      <c r="A25" s="13" t="s">
        <v>228</v>
      </c>
      <c r="B25" s="13" t="s">
        <v>211</v>
      </c>
      <c r="C25" s="4"/>
      <c r="D25" s="4">
        <f>D$16</f>
        <v>585.1668908500377</v>
      </c>
      <c r="E25" s="4">
        <f>702*438/663</f>
        <v>463.7647058823529</v>
      </c>
      <c r="F25" s="2">
        <v>0.5</v>
      </c>
      <c r="G25" s="1">
        <f>E25*F25/1000</f>
        <v>0.23188235294117646</v>
      </c>
      <c r="H25" s="1"/>
      <c r="I25" s="6" t="s">
        <v>72</v>
      </c>
      <c r="L25" t="s">
        <v>164</v>
      </c>
    </row>
    <row r="26" spans="1:12" ht="12.75">
      <c r="A26" s="13" t="s">
        <v>73</v>
      </c>
      <c r="B26" s="13" t="s">
        <v>208</v>
      </c>
      <c r="C26" s="4">
        <v>600</v>
      </c>
      <c r="D26" s="4">
        <v>1208</v>
      </c>
      <c r="E26" s="15">
        <f>940*41674/49655</f>
        <v>788.9147115094149</v>
      </c>
      <c r="F26" s="2">
        <v>150</v>
      </c>
      <c r="G26" s="1">
        <f>E26*F26/1000</f>
        <v>118.33720672641225</v>
      </c>
      <c r="H26" s="1">
        <f>G26*H$184/G$184</f>
        <v>1236.4316096184364</v>
      </c>
      <c r="I26" s="1">
        <f>H26</f>
        <v>1236.4316096184364</v>
      </c>
      <c r="L26">
        <f>940*41678/49675</f>
        <v>788.6727730246603</v>
      </c>
    </row>
    <row r="27" spans="1:9" ht="12.75">
      <c r="A27" s="13" t="s">
        <v>299</v>
      </c>
      <c r="B27" s="13" t="s">
        <v>208</v>
      </c>
      <c r="C27" s="4"/>
      <c r="D27" s="4"/>
      <c r="E27" s="15"/>
      <c r="F27" s="2">
        <f>2.5/409.9*F26</f>
        <v>0.9148572822639669</v>
      </c>
      <c r="G27" s="1"/>
      <c r="H27" s="1"/>
      <c r="I27" s="1"/>
    </row>
    <row r="28" spans="1:12" ht="12.75">
      <c r="A28" s="13" t="s">
        <v>303</v>
      </c>
      <c r="B28" s="13" t="s">
        <v>208</v>
      </c>
      <c r="C28" s="4"/>
      <c r="D28" s="4">
        <f>D$59</f>
        <v>597</v>
      </c>
      <c r="E28" s="4"/>
      <c r="F28" s="2">
        <f>2.6*(3.7/9.3)/2</f>
        <v>0.5172043010752688</v>
      </c>
      <c r="G28" s="1">
        <f>D28*F28/1000</f>
        <v>0.30877096774193546</v>
      </c>
      <c r="H28" s="1">
        <f>G28*H$184/G$184</f>
        <v>3.2261551139299756</v>
      </c>
      <c r="I28" s="1">
        <f>H28</f>
        <v>3.2261551139299756</v>
      </c>
      <c r="L28">
        <f>940*41674/49655</f>
        <v>788.9147115094149</v>
      </c>
    </row>
    <row r="29" spans="1:9" ht="12.75">
      <c r="A29" s="13" t="s">
        <v>203</v>
      </c>
      <c r="B29" s="13" t="s">
        <v>209</v>
      </c>
      <c r="C29" s="4"/>
      <c r="D29" s="4">
        <f>D$112</f>
        <v>498</v>
      </c>
      <c r="E29" s="4">
        <v>394</v>
      </c>
      <c r="F29" s="2">
        <f>8/15*8.5*0.1/2</f>
        <v>0.22666666666666668</v>
      </c>
      <c r="G29" s="1">
        <f aca="true" t="shared" si="2" ref="G29:G35">E29*F29/1000</f>
        <v>0.08930666666666667</v>
      </c>
      <c r="H29" s="1">
        <f>G29*H$184/G$184</f>
        <v>0.9331096167548656</v>
      </c>
      <c r="I29" s="1">
        <f>H29</f>
        <v>0.9331096167548656</v>
      </c>
    </row>
    <row r="30" spans="1:9" ht="12.75">
      <c r="A30" s="13" t="s">
        <v>227</v>
      </c>
      <c r="B30" s="13" t="s">
        <v>211</v>
      </c>
      <c r="C30" s="4"/>
      <c r="D30" s="4">
        <f>D$16</f>
        <v>585.1668908500377</v>
      </c>
      <c r="E30" s="4">
        <f>523*438/663</f>
        <v>345.5113122171946</v>
      </c>
      <c r="F30" s="2">
        <v>0.7</v>
      </c>
      <c r="G30" s="1">
        <f t="shared" si="2"/>
        <v>0.24185791855203617</v>
      </c>
      <c r="H30" s="1"/>
      <c r="I30" s="6" t="s">
        <v>72</v>
      </c>
    </row>
    <row r="31" spans="1:12" ht="12.75">
      <c r="A31" s="6" t="s">
        <v>74</v>
      </c>
      <c r="B31" s="13" t="s">
        <v>211</v>
      </c>
      <c r="C31" s="4"/>
      <c r="D31" s="4">
        <f>D$16</f>
        <v>585.1668908500377</v>
      </c>
      <c r="E31" s="4">
        <f>AVERAGE(683,AVERAGE(804,584,727))*438/663</f>
        <v>458.4796380090498</v>
      </c>
      <c r="F31" s="2">
        <f>0.6-F123</f>
        <v>0.5733333333333334</v>
      </c>
      <c r="G31" s="1">
        <f t="shared" si="2"/>
        <v>0.26286165912518855</v>
      </c>
      <c r="H31" s="1">
        <f>G31*H$184/G$184</f>
        <v>2.746477403768134</v>
      </c>
      <c r="I31" s="6" t="s">
        <v>72</v>
      </c>
      <c r="L31">
        <f>AVERAGE(683,AVERAGE(804,584,727))*438/663</f>
        <v>458.4796380090498</v>
      </c>
    </row>
    <row r="32" spans="1:12" ht="12.75">
      <c r="A32" s="1" t="s">
        <v>8</v>
      </c>
      <c r="B32" s="13" t="s">
        <v>211</v>
      </c>
      <c r="C32" s="4"/>
      <c r="D32" s="4">
        <f>D$16</f>
        <v>585.1668908500377</v>
      </c>
      <c r="E32" s="4">
        <f>1124*438/663</f>
        <v>742.552036199095</v>
      </c>
      <c r="F32" s="2">
        <v>0.03</v>
      </c>
      <c r="G32" s="1">
        <f t="shared" si="2"/>
        <v>0.02227656108597285</v>
      </c>
      <c r="H32" s="1">
        <f>G32*H$184/G$184</f>
        <v>0.23275388225084143</v>
      </c>
      <c r="I32" s="6" t="s">
        <v>72</v>
      </c>
      <c r="L32" s="14">
        <f>AVERAGE(804,584,727)</f>
        <v>705</v>
      </c>
    </row>
    <row r="33" spans="1:9" ht="12.75">
      <c r="A33" s="5" t="s">
        <v>46</v>
      </c>
      <c r="B33" s="5" t="s">
        <v>208</v>
      </c>
      <c r="C33" s="4"/>
      <c r="D33" s="4">
        <f>D159</f>
        <v>670</v>
      </c>
      <c r="E33" s="4">
        <f>687*600/636</f>
        <v>648.1132075471698</v>
      </c>
      <c r="F33" s="2">
        <v>0.12</v>
      </c>
      <c r="G33" s="1">
        <f t="shared" si="2"/>
        <v>0.07777358490566039</v>
      </c>
      <c r="H33" s="1">
        <f>G33*H$184/G$184</f>
        <v>0.8126076441285394</v>
      </c>
      <c r="I33" s="6" t="s">
        <v>62</v>
      </c>
    </row>
    <row r="34" spans="1:9" ht="12.75">
      <c r="A34" s="1" t="s">
        <v>9</v>
      </c>
      <c r="B34" s="13" t="s">
        <v>210</v>
      </c>
      <c r="C34" s="4">
        <v>548</v>
      </c>
      <c r="D34" s="4">
        <f>C34*41074/30481</f>
        <v>738.4453265968964</v>
      </c>
      <c r="E34" s="4">
        <f>AVERAGE(1623,1198)*548/670</f>
        <v>1153.6626865671642</v>
      </c>
      <c r="F34" s="2">
        <v>4.5</v>
      </c>
      <c r="G34" s="1">
        <f t="shared" si="2"/>
        <v>5.191482089552239</v>
      </c>
      <c r="H34" s="1">
        <f>G34*H$184/G$184</f>
        <v>54.24255594548938</v>
      </c>
      <c r="I34" s="6" t="s">
        <v>68</v>
      </c>
    </row>
    <row r="35" spans="1:9" ht="12.75">
      <c r="A35" s="1" t="s">
        <v>10</v>
      </c>
      <c r="B35" s="13" t="s">
        <v>210</v>
      </c>
      <c r="C35" s="4">
        <v>875</v>
      </c>
      <c r="D35" s="4">
        <f>C35*41074/30481</f>
        <v>1179.0869722121977</v>
      </c>
      <c r="E35" s="4">
        <f>1343*875/1235</f>
        <v>951.5182186234817</v>
      </c>
      <c r="F35" s="10">
        <f>0.7+0.2</f>
        <v>0.8999999999999999</v>
      </c>
      <c r="G35" s="1">
        <f t="shared" si="2"/>
        <v>0.8563663967611335</v>
      </c>
      <c r="H35" s="1">
        <f>G35*H$184/G$184</f>
        <v>8.947637954802103</v>
      </c>
      <c r="I35" s="5" t="s">
        <v>128</v>
      </c>
    </row>
    <row r="36" spans="1:9" ht="12.75">
      <c r="A36" s="5" t="s">
        <v>130</v>
      </c>
      <c r="B36" s="5" t="s">
        <v>210</v>
      </c>
      <c r="C36" s="4"/>
      <c r="D36" s="4"/>
      <c r="E36" s="4"/>
      <c r="F36" s="2"/>
      <c r="G36" s="1"/>
      <c r="H36" s="1"/>
      <c r="I36" s="1">
        <f>H35+H58+H118</f>
        <v>13.450737005796892</v>
      </c>
    </row>
    <row r="37" spans="1:9" ht="12.75">
      <c r="A37" s="13" t="s">
        <v>231</v>
      </c>
      <c r="B37" s="13" t="s">
        <v>211</v>
      </c>
      <c r="C37" s="4"/>
      <c r="D37" s="4">
        <f>D$16</f>
        <v>585.1668908500377</v>
      </c>
      <c r="E37" s="4">
        <f>426*438/663</f>
        <v>281.42986425339365</v>
      </c>
      <c r="F37" s="10">
        <f>0.07</f>
        <v>0.07</v>
      </c>
      <c r="G37" s="1">
        <f>E37*F37/1000</f>
        <v>0.019700090497737556</v>
      </c>
      <c r="H37" s="1">
        <f>G37*H$184/G$184</f>
        <v>0.20583394925029927</v>
      </c>
      <c r="I37" s="6" t="s">
        <v>72</v>
      </c>
    </row>
    <row r="38" spans="1:9" ht="12.75">
      <c r="A38" s="13" t="s">
        <v>230</v>
      </c>
      <c r="B38" s="13" t="s">
        <v>211</v>
      </c>
      <c r="C38" s="4"/>
      <c r="D38" s="4">
        <f>D$16</f>
        <v>585.1668908500377</v>
      </c>
      <c r="E38" s="4">
        <f>504*438/663</f>
        <v>332.95927601809956</v>
      </c>
      <c r="F38" s="10">
        <v>0.03</v>
      </c>
      <c r="G38" s="1">
        <f>E38*F38/1000</f>
        <v>0.009988778280542987</v>
      </c>
      <c r="H38" s="1">
        <f>G38*H$184/G$184</f>
        <v>0.10436650947902498</v>
      </c>
      <c r="I38" s="6" t="s">
        <v>72</v>
      </c>
    </row>
    <row r="39" spans="1:9" ht="12.75">
      <c r="A39" s="13" t="s">
        <v>226</v>
      </c>
      <c r="B39" s="13" t="s">
        <v>211</v>
      </c>
      <c r="C39" s="4"/>
      <c r="D39" s="4">
        <f>D$16</f>
        <v>585.1668908500377</v>
      </c>
      <c r="E39" s="4">
        <f>1085*438/663</f>
        <v>716.7873303167421</v>
      </c>
      <c r="F39" s="2">
        <v>0.5</v>
      </c>
      <c r="G39" s="1">
        <f>E39*F39/1000</f>
        <v>0.35839366515837107</v>
      </c>
      <c r="H39" s="1"/>
      <c r="I39" s="6" t="s">
        <v>72</v>
      </c>
    </row>
    <row r="40" spans="1:9" ht="12.75">
      <c r="A40" s="1" t="s">
        <v>11</v>
      </c>
      <c r="B40" s="13" t="s">
        <v>209</v>
      </c>
      <c r="C40" s="4">
        <v>475</v>
      </c>
      <c r="D40" s="4">
        <v>749</v>
      </c>
      <c r="E40" s="4"/>
      <c r="F40" s="2">
        <v>5</v>
      </c>
      <c r="G40" s="1">
        <f>D40*F40/1000</f>
        <v>3.745</v>
      </c>
      <c r="H40" s="1">
        <f aca="true" t="shared" si="3" ref="H40:H47">G40*H$184/G$184</f>
        <v>39.12916745387024</v>
      </c>
      <c r="I40" s="6" t="s">
        <v>62</v>
      </c>
    </row>
    <row r="41" spans="1:9" ht="12.75">
      <c r="A41" s="6" t="s">
        <v>148</v>
      </c>
      <c r="B41" s="13" t="s">
        <v>210</v>
      </c>
      <c r="C41" s="4"/>
      <c r="D41" s="4">
        <f>D$44</f>
        <v>724.9700469144713</v>
      </c>
      <c r="E41" s="4">
        <f>764*538/757</f>
        <v>542.9749009247028</v>
      </c>
      <c r="F41" s="10">
        <f>0.26/2</f>
        <v>0.13</v>
      </c>
      <c r="G41" s="1">
        <f>E41*F41/1000</f>
        <v>0.07058673712021135</v>
      </c>
      <c r="H41" s="1">
        <f t="shared" si="3"/>
        <v>0.7375167574897379</v>
      </c>
      <c r="I41" s="6" t="s">
        <v>77</v>
      </c>
    </row>
    <row r="42" spans="1:10" ht="12.75">
      <c r="A42" s="6" t="s">
        <v>51</v>
      </c>
      <c r="B42" s="13" t="s">
        <v>209</v>
      </c>
      <c r="C42" s="4"/>
      <c r="D42" s="4">
        <f>D$112</f>
        <v>498</v>
      </c>
      <c r="E42" s="4">
        <v>619</v>
      </c>
      <c r="F42" s="16">
        <f>2.25</f>
        <v>2.25</v>
      </c>
      <c r="G42" s="1">
        <f>E42*F42/1000/2</f>
        <v>0.696375</v>
      </c>
      <c r="H42" s="1">
        <f t="shared" si="3"/>
        <v>7.275987713134549</v>
      </c>
      <c r="I42" s="1">
        <f>H42</f>
        <v>7.275987713134549</v>
      </c>
      <c r="J42" s="13" t="s">
        <v>194</v>
      </c>
    </row>
    <row r="43" spans="1:10" ht="12.75">
      <c r="A43" s="13" t="s">
        <v>193</v>
      </c>
      <c r="B43" s="13" t="s">
        <v>209</v>
      </c>
      <c r="C43" s="4"/>
      <c r="D43" s="4">
        <f>D$112</f>
        <v>498</v>
      </c>
      <c r="E43" s="4">
        <v>584</v>
      </c>
      <c r="F43" s="2">
        <f>0.1*2.25</f>
        <v>0.225</v>
      </c>
      <c r="G43" s="1">
        <f>E43*F43/1000</f>
        <v>0.13140000000000002</v>
      </c>
      <c r="H43" s="1">
        <f t="shared" si="3"/>
        <v>1.3729165830276502</v>
      </c>
      <c r="I43" s="6" t="s">
        <v>62</v>
      </c>
      <c r="J43" s="6"/>
    </row>
    <row r="44" spans="1:9" ht="12.75">
      <c r="A44" s="1" t="s">
        <v>12</v>
      </c>
      <c r="B44" s="13" t="s">
        <v>210</v>
      </c>
      <c r="C44" s="4">
        <v>538</v>
      </c>
      <c r="D44" s="4">
        <f>C44*41074/30481</f>
        <v>724.9700469144713</v>
      </c>
      <c r="E44" s="4">
        <f>1038*538/757</f>
        <v>737.7067371202114</v>
      </c>
      <c r="F44" s="2">
        <v>0.2</v>
      </c>
      <c r="G44" s="1">
        <f>E44*F44/1000</f>
        <v>0.1475413474240423</v>
      </c>
      <c r="H44" s="1">
        <f t="shared" si="3"/>
        <v>1.5415674471895855</v>
      </c>
      <c r="I44" s="6" t="s">
        <v>77</v>
      </c>
    </row>
    <row r="45" spans="1:9" ht="12.75">
      <c r="A45" s="1" t="s">
        <v>13</v>
      </c>
      <c r="B45" s="13" t="s">
        <v>210</v>
      </c>
      <c r="C45" s="4">
        <v>841</v>
      </c>
      <c r="D45" s="4">
        <v>1296</v>
      </c>
      <c r="E45" s="4"/>
      <c r="F45" s="2">
        <f>16</f>
        <v>16</v>
      </c>
      <c r="G45" s="1">
        <f>D45*F45/1000</f>
        <v>20.736</v>
      </c>
      <c r="H45" s="1">
        <f t="shared" si="3"/>
        <v>216.65752104765107</v>
      </c>
      <c r="I45" s="1">
        <f>H45</f>
        <v>216.65752104765107</v>
      </c>
    </row>
    <row r="46" spans="1:9" ht="12.75">
      <c r="A46" s="5" t="s">
        <v>56</v>
      </c>
      <c r="B46" s="5" t="s">
        <v>210</v>
      </c>
      <c r="C46" s="4"/>
      <c r="D46" s="4"/>
      <c r="E46" s="4"/>
      <c r="F46" s="2">
        <v>0.5</v>
      </c>
      <c r="G46" s="1">
        <f>D45*F46/1000</f>
        <v>0.648</v>
      </c>
      <c r="H46" s="1">
        <f t="shared" si="3"/>
        <v>6.770547532739096</v>
      </c>
      <c r="I46" s="6" t="s">
        <v>78</v>
      </c>
    </row>
    <row r="47" spans="1:9" ht="12.75">
      <c r="A47" s="6" t="s">
        <v>67</v>
      </c>
      <c r="B47" s="13" t="s">
        <v>208</v>
      </c>
      <c r="C47" s="4"/>
      <c r="D47" s="4">
        <f>D$141</f>
        <v>743.8354384698665</v>
      </c>
      <c r="E47" s="4">
        <f>422*552/675</f>
        <v>345.1022222222222</v>
      </c>
      <c r="F47" s="1">
        <v>0.5</v>
      </c>
      <c r="G47" s="1">
        <f>E47*F47/1000</f>
        <v>0.1725511111111111</v>
      </c>
      <c r="H47" s="1">
        <f t="shared" si="3"/>
        <v>1.802878857414696</v>
      </c>
      <c r="I47" s="5" t="s">
        <v>62</v>
      </c>
    </row>
    <row r="48" spans="1:8" ht="12.75">
      <c r="A48" s="6" t="s">
        <v>80</v>
      </c>
      <c r="B48" s="13" t="s">
        <v>210</v>
      </c>
      <c r="C48" s="4">
        <v>791</v>
      </c>
      <c r="D48" s="4">
        <v>1187</v>
      </c>
      <c r="E48" s="4"/>
      <c r="F48" s="1">
        <v>12</v>
      </c>
      <c r="G48" s="1"/>
      <c r="H48" s="1"/>
    </row>
    <row r="49" spans="1:9" ht="12.75">
      <c r="A49" s="13" t="s">
        <v>86</v>
      </c>
      <c r="B49" s="13" t="s">
        <v>210</v>
      </c>
      <c r="C49" s="4"/>
      <c r="D49" s="4"/>
      <c r="E49" s="4"/>
      <c r="F49" s="1">
        <v>12</v>
      </c>
      <c r="G49" s="1">
        <f>D48*F49/1000</f>
        <v>14.244</v>
      </c>
      <c r="H49" s="1">
        <f>G49*H$184/G$184</f>
        <v>148.82666521039457</v>
      </c>
      <c r="I49" s="9">
        <f>SUM(H49:H51)</f>
        <v>170.78915118850813</v>
      </c>
    </row>
    <row r="50" spans="1:9" ht="12.75">
      <c r="A50" s="13" t="s">
        <v>272</v>
      </c>
      <c r="B50" s="13" t="s">
        <v>210</v>
      </c>
      <c r="C50" s="4"/>
      <c r="D50" s="4">
        <v>1454</v>
      </c>
      <c r="E50" s="4"/>
      <c r="F50" s="1">
        <v>1</v>
      </c>
      <c r="G50" s="1">
        <f>D50*F50/1000</f>
        <v>1.454</v>
      </c>
      <c r="H50" s="1">
        <f>G50*H$184/G$184</f>
        <v>15.191938445374454</v>
      </c>
      <c r="I50" s="9"/>
    </row>
    <row r="51" spans="1:9" ht="12.75">
      <c r="A51" s="13" t="s">
        <v>271</v>
      </c>
      <c r="B51" s="13" t="s">
        <v>210</v>
      </c>
      <c r="C51" s="4"/>
      <c r="D51" s="4">
        <v>1296</v>
      </c>
      <c r="E51" s="4"/>
      <c r="F51" s="1">
        <v>0.5</v>
      </c>
      <c r="G51" s="1">
        <f>D51*F51/1000</f>
        <v>0.648</v>
      </c>
      <c r="H51" s="1">
        <f>G51*H$184/G$184</f>
        <v>6.770547532739096</v>
      </c>
      <c r="I51" s="9"/>
    </row>
    <row r="52" spans="1:13" ht="12.75">
      <c r="A52" s="6" t="s">
        <v>79</v>
      </c>
      <c r="B52" s="13" t="s">
        <v>210</v>
      </c>
      <c r="C52" s="4"/>
      <c r="D52" s="4"/>
      <c r="E52" s="4"/>
      <c r="F52" s="1">
        <v>20</v>
      </c>
      <c r="G52" s="1"/>
      <c r="H52" s="1"/>
      <c r="L52">
        <v>20</v>
      </c>
      <c r="M52" s="6" t="s">
        <v>83</v>
      </c>
    </row>
    <row r="53" spans="1:13" ht="12.75">
      <c r="A53" s="6" t="s">
        <v>90</v>
      </c>
      <c r="B53" s="13" t="s">
        <v>210</v>
      </c>
      <c r="C53" s="4">
        <v>483</v>
      </c>
      <c r="D53" s="4">
        <v>727</v>
      </c>
      <c r="E53" s="4"/>
      <c r="F53" s="10">
        <f>1.5-F54</f>
        <v>1.35</v>
      </c>
      <c r="G53" s="1">
        <f>D53*F53/1000</f>
        <v>0.98145</v>
      </c>
      <c r="H53" s="1">
        <f>G53*H$184/G$184</f>
        <v>10.254558450627757</v>
      </c>
      <c r="I53" s="5" t="s">
        <v>62</v>
      </c>
      <c r="L53">
        <f>L52-2.5</f>
        <v>17.5</v>
      </c>
      <c r="M53" s="7" t="s">
        <v>85</v>
      </c>
    </row>
    <row r="54" spans="1:13" ht="12.75">
      <c r="A54" s="6" t="s">
        <v>91</v>
      </c>
      <c r="B54" s="13" t="s">
        <v>210</v>
      </c>
      <c r="C54" s="4"/>
      <c r="D54" s="4"/>
      <c r="E54" s="4"/>
      <c r="F54" s="2">
        <v>0.15</v>
      </c>
      <c r="G54" s="1">
        <f>D53*F54/1000</f>
        <v>0.10905</v>
      </c>
      <c r="H54" s="1">
        <f>G54*H$184/G$184</f>
        <v>1.1393953834030839</v>
      </c>
      <c r="I54" s="6" t="s">
        <v>92</v>
      </c>
      <c r="L54">
        <f>L53-2.5</f>
        <v>15</v>
      </c>
      <c r="M54" s="7" t="s">
        <v>84</v>
      </c>
    </row>
    <row r="55" spans="1:13" ht="12.75">
      <c r="A55" s="1" t="s">
        <v>14</v>
      </c>
      <c r="B55" s="13" t="s">
        <v>210</v>
      </c>
      <c r="C55" s="4">
        <v>548</v>
      </c>
      <c r="D55" s="4">
        <f>C55*41074/30481</f>
        <v>738.4453265968964</v>
      </c>
      <c r="E55" s="4">
        <f>1391*548/670</f>
        <v>1137.7134328358209</v>
      </c>
      <c r="F55" s="2">
        <v>1.25</v>
      </c>
      <c r="G55" s="1"/>
      <c r="H55" s="1"/>
      <c r="I55" s="1"/>
      <c r="L55">
        <f>L54-0.5</f>
        <v>14.5</v>
      </c>
      <c r="M55" s="7" t="s">
        <v>87</v>
      </c>
    </row>
    <row r="56" spans="1:13" ht="12.75">
      <c r="A56" s="6" t="s">
        <v>69</v>
      </c>
      <c r="B56" s="13" t="s">
        <v>210</v>
      </c>
      <c r="C56" s="4"/>
      <c r="D56" s="4"/>
      <c r="E56" s="4"/>
      <c r="F56" s="2">
        <v>0.25</v>
      </c>
      <c r="G56" s="1">
        <f>E55*F56/1000</f>
        <v>0.28442835820895523</v>
      </c>
      <c r="H56" s="1">
        <f>G56*H$184/G$184</f>
        <v>2.9718143810380764</v>
      </c>
      <c r="I56" s="6" t="s">
        <v>68</v>
      </c>
      <c r="L56">
        <f>L55-0.5</f>
        <v>14</v>
      </c>
      <c r="M56" s="14" t="s">
        <v>240</v>
      </c>
    </row>
    <row r="57" spans="1:13" ht="12.75">
      <c r="A57" s="6" t="s">
        <v>70</v>
      </c>
      <c r="B57" s="13" t="s">
        <v>210</v>
      </c>
      <c r="C57" s="4"/>
      <c r="D57" s="4"/>
      <c r="E57" s="4"/>
      <c r="F57" s="2">
        <v>1</v>
      </c>
      <c r="G57" s="1">
        <f>E55*F57/1000</f>
        <v>1.137713432835821</v>
      </c>
      <c r="H57" s="1">
        <f>G57*H$184/G$184</f>
        <v>11.887257524152306</v>
      </c>
      <c r="I57" s="6" t="s">
        <v>62</v>
      </c>
      <c r="L57">
        <f>L56-0.25</f>
        <v>13.75</v>
      </c>
      <c r="M57" s="14" t="s">
        <v>241</v>
      </c>
    </row>
    <row r="58" spans="1:13" ht="12.75">
      <c r="A58" s="6" t="s">
        <v>129</v>
      </c>
      <c r="B58" s="13" t="s">
        <v>210</v>
      </c>
      <c r="C58" s="4"/>
      <c r="D58" s="4">
        <f>D$44</f>
        <v>724.9700469144713</v>
      </c>
      <c r="E58" s="4">
        <f>802*698/929</f>
        <v>602.5791173304629</v>
      </c>
      <c r="F58" s="2">
        <v>0.05</v>
      </c>
      <c r="G58" s="1">
        <f>E58*F58/1000</f>
        <v>0.030128955866523144</v>
      </c>
      <c r="H58" s="1">
        <f>G58*H$184/G$184</f>
        <v>0.31479865402174906</v>
      </c>
      <c r="I58" s="5" t="s">
        <v>128</v>
      </c>
      <c r="M58" s="14"/>
    </row>
    <row r="59" spans="1:9" ht="12.75">
      <c r="A59" s="1" t="s">
        <v>15</v>
      </c>
      <c r="B59" s="13" t="s">
        <v>208</v>
      </c>
      <c r="C59" s="4">
        <v>550</v>
      </c>
      <c r="D59" s="4">
        <v>597</v>
      </c>
      <c r="E59" s="4"/>
      <c r="F59" s="2">
        <v>130</v>
      </c>
      <c r="H59" s="1"/>
      <c r="I59" s="1"/>
    </row>
    <row r="60" spans="1:9" ht="12.75">
      <c r="A60" s="6" t="s">
        <v>89</v>
      </c>
      <c r="B60" s="13" t="s">
        <v>208</v>
      </c>
      <c r="C60" s="4"/>
      <c r="D60" s="4"/>
      <c r="E60" s="4"/>
      <c r="F60" s="2">
        <v>115</v>
      </c>
      <c r="G60" s="1">
        <f>D59*F60/1000</f>
        <v>68.655</v>
      </c>
      <c r="H60" s="1">
        <f>G60*H$184/G$184</f>
        <v>717.333242068214</v>
      </c>
      <c r="I60" s="1">
        <f>H4+H60</f>
        <v>725.108339752068</v>
      </c>
    </row>
    <row r="61" spans="1:11" ht="12.75">
      <c r="A61" s="6" t="s">
        <v>88</v>
      </c>
      <c r="B61" s="13" t="s">
        <v>208</v>
      </c>
      <c r="C61" s="4"/>
      <c r="D61" s="4"/>
      <c r="E61" s="4"/>
      <c r="F61" s="2">
        <f>F59-(F60-F4)</f>
        <v>16.5</v>
      </c>
      <c r="G61" s="1">
        <f>D59*F61/1000</f>
        <v>9.8505</v>
      </c>
      <c r="H61" s="1">
        <f>G61*H$184/G$184</f>
        <v>102.92172603587417</v>
      </c>
      <c r="I61" s="1"/>
      <c r="J61">
        <f>SUM(J62:J66)</f>
        <v>143</v>
      </c>
      <c r="K61" t="s">
        <v>104</v>
      </c>
    </row>
    <row r="62" spans="1:10" ht="13.5" customHeight="1">
      <c r="A62" s="13" t="s">
        <v>102</v>
      </c>
      <c r="B62" s="13" t="s">
        <v>208</v>
      </c>
      <c r="C62" s="4"/>
      <c r="D62" s="4"/>
      <c r="E62" s="4"/>
      <c r="F62" s="2"/>
      <c r="G62" s="1"/>
      <c r="H62" s="1"/>
      <c r="I62" s="1">
        <f>H$61*J62/143</f>
        <v>7.19732349901218</v>
      </c>
      <c r="J62">
        <v>10</v>
      </c>
    </row>
    <row r="63" spans="1:10" ht="12.75">
      <c r="A63" s="6" t="s">
        <v>103</v>
      </c>
      <c r="B63" s="13" t="s">
        <v>208</v>
      </c>
      <c r="I63" s="1">
        <f>H$61*J63/143</f>
        <v>0.719732349901218</v>
      </c>
      <c r="J63">
        <v>1</v>
      </c>
    </row>
    <row r="64" spans="1:10" ht="12.75">
      <c r="A64" s="13" t="s">
        <v>97</v>
      </c>
      <c r="B64" s="13" t="s">
        <v>208</v>
      </c>
      <c r="C64" s="4"/>
      <c r="D64" s="4"/>
      <c r="E64" s="4"/>
      <c r="F64" s="2"/>
      <c r="G64" s="1"/>
      <c r="H64" s="1"/>
      <c r="I64" s="1">
        <f>H$61*J64/143</f>
        <v>30.948491045752373</v>
      </c>
      <c r="J64">
        <v>43</v>
      </c>
    </row>
    <row r="65" spans="1:10" ht="12.75">
      <c r="A65" s="13" t="s">
        <v>215</v>
      </c>
      <c r="B65" s="13" t="s">
        <v>208</v>
      </c>
      <c r="C65" s="4"/>
      <c r="D65" s="4"/>
      <c r="E65" s="4"/>
      <c r="F65" s="2"/>
      <c r="G65" s="1"/>
      <c r="H65" s="1"/>
      <c r="I65" s="1">
        <f>H$61*J65/143</f>
        <v>28.069561646147502</v>
      </c>
      <c r="J65">
        <v>39</v>
      </c>
    </row>
    <row r="66" spans="1:10" ht="12.75">
      <c r="A66" s="13" t="s">
        <v>98</v>
      </c>
      <c r="B66" s="13" t="s">
        <v>208</v>
      </c>
      <c r="C66" s="4"/>
      <c r="D66" s="4"/>
      <c r="E66" s="4"/>
      <c r="F66" s="2"/>
      <c r="G66" s="1"/>
      <c r="H66" s="1"/>
      <c r="I66" s="1">
        <f>H$61*J66/143</f>
        <v>35.986617495060905</v>
      </c>
      <c r="J66">
        <v>50</v>
      </c>
    </row>
    <row r="67" spans="1:9" ht="12.75">
      <c r="A67" s="6" t="s">
        <v>48</v>
      </c>
      <c r="B67" s="13" t="s">
        <v>208</v>
      </c>
      <c r="C67" s="4"/>
      <c r="D67" s="4">
        <f>D$59</f>
        <v>597</v>
      </c>
      <c r="E67" s="4">
        <f>514*580/607</f>
        <v>491.1367380560132</v>
      </c>
      <c r="F67" s="2">
        <v>11.7</v>
      </c>
      <c r="G67" s="1"/>
      <c r="H67" s="1"/>
      <c r="I67" s="1"/>
    </row>
    <row r="68" spans="1:10" ht="12.75">
      <c r="A68" s="6" t="s">
        <v>101</v>
      </c>
      <c r="B68" s="13" t="s">
        <v>208</v>
      </c>
      <c r="C68" s="4"/>
      <c r="D68" s="4"/>
      <c r="E68" s="4"/>
      <c r="F68" s="2">
        <f>F$67/60+(1.9/2/60)*F67</f>
        <v>0.38025</v>
      </c>
      <c r="G68" s="1">
        <f aca="true" t="shared" si="4" ref="G68:G74">E$67*F68/1000</f>
        <v>0.186754744645799</v>
      </c>
      <c r="H68" s="1">
        <f aca="true" t="shared" si="5" ref="H68:H79">G68*H$184/G$184</f>
        <v>1.9512837586248988</v>
      </c>
      <c r="I68" s="9">
        <f>H68</f>
        <v>1.9512837586248988</v>
      </c>
      <c r="J68" s="5" t="s">
        <v>249</v>
      </c>
    </row>
    <row r="69" spans="1:10" ht="12.75">
      <c r="A69" s="13" t="s">
        <v>245</v>
      </c>
      <c r="B69" s="13" t="s">
        <v>208</v>
      </c>
      <c r="C69" s="4"/>
      <c r="D69" s="4"/>
      <c r="E69" s="4"/>
      <c r="F69" s="2">
        <f>0.3/60.7*F67</f>
        <v>0.05782537067545304</v>
      </c>
      <c r="G69" s="1">
        <f t="shared" si="4"/>
        <v>0.028400163930421846</v>
      </c>
      <c r="H69" s="1">
        <f t="shared" si="5"/>
        <v>0.296735586155098</v>
      </c>
      <c r="I69" s="9" t="s">
        <v>246</v>
      </c>
      <c r="J69" s="5"/>
    </row>
    <row r="70" spans="1:10" ht="12.75">
      <c r="A70" s="13" t="s">
        <v>247</v>
      </c>
      <c r="B70" s="13" t="s">
        <v>208</v>
      </c>
      <c r="C70" s="4"/>
      <c r="D70" s="4"/>
      <c r="E70" s="4"/>
      <c r="F70" s="2">
        <f>F$67*(9.56/16.3)*(11.4/37.6)*33/43</f>
        <v>1.596682775641045</v>
      </c>
      <c r="G70" s="1">
        <f t="shared" si="4"/>
        <v>0.784189570138564</v>
      </c>
      <c r="H70" s="1">
        <f t="shared" si="5"/>
        <v>8.193507344600906</v>
      </c>
      <c r="I70" s="9">
        <f>H70+H71</f>
        <v>8.549590047987024</v>
      </c>
      <c r="J70" s="5"/>
    </row>
    <row r="71" spans="1:10" ht="12.75">
      <c r="A71" s="13" t="s">
        <v>248</v>
      </c>
      <c r="B71" s="13" t="s">
        <v>208</v>
      </c>
      <c r="C71" s="4"/>
      <c r="D71" s="4"/>
      <c r="E71" s="4"/>
      <c r="F71" s="2">
        <f>0.36/60.7*F67</f>
        <v>0.06939044481054366</v>
      </c>
      <c r="G71" s="1">
        <f t="shared" si="4"/>
        <v>0.03408019671650622</v>
      </c>
      <c r="H71" s="1">
        <f t="shared" si="5"/>
        <v>0.3560827033861177</v>
      </c>
      <c r="I71" s="9"/>
      <c r="J71" s="5"/>
    </row>
    <row r="72" spans="1:10" ht="12.75">
      <c r="A72" s="13" t="s">
        <v>301</v>
      </c>
      <c r="B72" s="13" t="s">
        <v>208</v>
      </c>
      <c r="C72" s="4"/>
      <c r="D72" s="4"/>
      <c r="E72" s="4"/>
      <c r="F72" s="2">
        <f>11.4/60.7*F67*(3.2/38)</f>
        <v>0.18504118616144974</v>
      </c>
      <c r="G72" s="1">
        <f t="shared" si="4"/>
        <v>0.09088052457734992</v>
      </c>
      <c r="H72" s="1">
        <f t="shared" si="5"/>
        <v>0.9495538756963137</v>
      </c>
      <c r="I72" s="9">
        <f>H72</f>
        <v>0.9495538756963137</v>
      </c>
      <c r="J72" s="5"/>
    </row>
    <row r="73" spans="1:10" ht="12.75">
      <c r="A73" s="13" t="s">
        <v>99</v>
      </c>
      <c r="B73" s="13" t="s">
        <v>208</v>
      </c>
      <c r="C73" s="4"/>
      <c r="D73" s="4"/>
      <c r="E73" s="4"/>
      <c r="F73" s="2">
        <f>F$67*(9.56/16.3)/3</f>
        <v>2.2873619631901843</v>
      </c>
      <c r="G73" s="1">
        <f t="shared" si="4"/>
        <v>1.1234074933546256</v>
      </c>
      <c r="H73" s="1">
        <f t="shared" si="5"/>
        <v>11.737783691964156</v>
      </c>
      <c r="I73" s="9">
        <f>H73</f>
        <v>11.737783691964156</v>
      </c>
      <c r="J73" s="5" t="s">
        <v>100</v>
      </c>
    </row>
    <row r="74" spans="1:10" ht="12.75">
      <c r="A74" s="13" t="s">
        <v>300</v>
      </c>
      <c r="B74" s="13" t="s">
        <v>208</v>
      </c>
      <c r="C74" s="4"/>
      <c r="D74" s="4"/>
      <c r="E74" s="4"/>
      <c r="F74" s="2">
        <f>F$67*(9.56/16.3)*15/37.5*(7.5/37)</f>
        <v>0.5563853423976124</v>
      </c>
      <c r="G74" s="1">
        <f t="shared" si="4"/>
        <v>0.2732612821673414</v>
      </c>
      <c r="H74" s="1">
        <f t="shared" si="5"/>
        <v>2.855136573721011</v>
      </c>
      <c r="I74" s="9">
        <f>H74</f>
        <v>2.855136573721011</v>
      </c>
      <c r="J74" s="5"/>
    </row>
    <row r="75" spans="1:10" ht="12.75">
      <c r="A75" s="13" t="s">
        <v>302</v>
      </c>
      <c r="B75" s="13" t="s">
        <v>208</v>
      </c>
      <c r="C75" s="4"/>
      <c r="D75" s="4"/>
      <c r="E75" s="4"/>
      <c r="F75" s="2">
        <f>F$67*(0.1+0.28+1.57*0.71/8.5)/16.3</f>
        <v>0.3668927463009743</v>
      </c>
      <c r="G75" s="1">
        <f>E$67*F75/1000</f>
        <v>0.1801945066346729</v>
      </c>
      <c r="H75" s="1">
        <f t="shared" si="5"/>
        <v>1.8827399264020421</v>
      </c>
      <c r="I75" s="9">
        <f>H75</f>
        <v>1.8827399264020421</v>
      </c>
      <c r="J75" s="5"/>
    </row>
    <row r="76" spans="1:9" ht="12.75">
      <c r="A76" s="1" t="s">
        <v>16</v>
      </c>
      <c r="B76" s="13" t="s">
        <v>208</v>
      </c>
      <c r="C76" s="4">
        <v>600</v>
      </c>
      <c r="D76" s="4">
        <f>C76*41074/30481</f>
        <v>808.5167809455071</v>
      </c>
      <c r="E76" s="4">
        <f>750</f>
        <v>750</v>
      </c>
      <c r="F76" s="2">
        <v>5</v>
      </c>
      <c r="G76" s="1">
        <f>E76*F76/1000</f>
        <v>3.75</v>
      </c>
      <c r="H76" s="1">
        <f t="shared" si="5"/>
        <v>39.181409332980884</v>
      </c>
      <c r="I76" s="1">
        <f>H76+H3</f>
        <v>44.36480778888354</v>
      </c>
    </row>
    <row r="77" spans="1:9" ht="12.75">
      <c r="A77" s="1" t="s">
        <v>17</v>
      </c>
      <c r="B77" s="13" t="s">
        <v>208</v>
      </c>
      <c r="C77" s="4">
        <v>550</v>
      </c>
      <c r="D77" s="4">
        <f>C77*41074/30481</f>
        <v>741.1403825333814</v>
      </c>
      <c r="E77" s="4">
        <f>700*550/582</f>
        <v>661.512027491409</v>
      </c>
      <c r="F77" s="2">
        <v>1.25</v>
      </c>
      <c r="G77" s="1">
        <f>E77*F77/1000</f>
        <v>0.8268900343642611</v>
      </c>
      <c r="H77" s="1">
        <f t="shared" si="5"/>
        <v>8.639657842610331</v>
      </c>
      <c r="I77" s="6" t="s">
        <v>62</v>
      </c>
    </row>
    <row r="78" spans="1:10" ht="12.75">
      <c r="A78" s="6" t="s">
        <v>93</v>
      </c>
      <c r="B78" s="13" t="s">
        <v>210</v>
      </c>
      <c r="C78" s="4">
        <v>615</v>
      </c>
      <c r="D78" s="4">
        <v>880</v>
      </c>
      <c r="E78" s="4"/>
      <c r="F78" s="2">
        <v>1.25</v>
      </c>
      <c r="G78" s="1">
        <f>D78*F78/1000</f>
        <v>1.1</v>
      </c>
      <c r="H78" s="1">
        <f t="shared" si="5"/>
        <v>11.49321340434106</v>
      </c>
      <c r="I78" s="1">
        <f>H78</f>
        <v>11.49321340434106</v>
      </c>
      <c r="J78" s="5" t="s">
        <v>105</v>
      </c>
    </row>
    <row r="79" spans="1:9" ht="12.75">
      <c r="A79" s="1" t="s">
        <v>18</v>
      </c>
      <c r="B79" s="13" t="s">
        <v>208</v>
      </c>
      <c r="C79" s="4"/>
      <c r="D79" s="4">
        <f>D$159</f>
        <v>670</v>
      </c>
      <c r="E79" s="4">
        <f>883*591/604</f>
        <v>863.9950331125827</v>
      </c>
      <c r="F79" s="2">
        <v>0.3</v>
      </c>
      <c r="G79" s="1">
        <f>E79*F79/1000</f>
        <v>0.2591985099337748</v>
      </c>
      <c r="H79" s="1">
        <f t="shared" si="5"/>
        <v>2.708203444323718</v>
      </c>
      <c r="I79" s="6" t="s">
        <v>62</v>
      </c>
    </row>
    <row r="80" spans="1:9" ht="12.75">
      <c r="A80" s="1" t="s">
        <v>19</v>
      </c>
      <c r="B80" s="13" t="s">
        <v>210</v>
      </c>
      <c r="C80" s="4">
        <v>1100</v>
      </c>
      <c r="D80" s="4">
        <v>1280</v>
      </c>
      <c r="E80" s="4"/>
      <c r="F80" s="2">
        <v>12</v>
      </c>
      <c r="G80" s="1"/>
      <c r="H80" s="1"/>
      <c r="I80" s="1"/>
    </row>
    <row r="81" spans="1:9" ht="12.75">
      <c r="A81" s="5" t="s">
        <v>55</v>
      </c>
      <c r="B81" s="5" t="s">
        <v>210</v>
      </c>
      <c r="C81" s="4"/>
      <c r="D81" s="4"/>
      <c r="E81" s="4"/>
      <c r="F81" s="2">
        <v>1.25</v>
      </c>
      <c r="G81" s="1">
        <f>D$80*F81/1000</f>
        <v>1.6</v>
      </c>
      <c r="H81" s="1">
        <f>G81*H$184/G$184</f>
        <v>16.717401315405176</v>
      </c>
      <c r="I81" s="1">
        <f>H81</f>
        <v>16.717401315405176</v>
      </c>
    </row>
    <row r="82" spans="1:9" ht="12.75">
      <c r="A82" s="5" t="s">
        <v>114</v>
      </c>
      <c r="B82" s="5" t="s">
        <v>210</v>
      </c>
      <c r="C82" s="4"/>
      <c r="D82" s="4"/>
      <c r="E82" s="4"/>
      <c r="F82" s="2">
        <v>7</v>
      </c>
      <c r="G82" s="1"/>
      <c r="H82" s="1"/>
      <c r="I82" s="1"/>
    </row>
    <row r="83" spans="1:10" ht="12.75">
      <c r="A83" s="5" t="s">
        <v>111</v>
      </c>
      <c r="B83" s="5" t="s">
        <v>210</v>
      </c>
      <c r="C83" s="4"/>
      <c r="D83" s="4"/>
      <c r="E83" s="4"/>
      <c r="F83" s="2">
        <f>F$82*J83/J$90</f>
        <v>1.1914893617021276</v>
      </c>
      <c r="G83" s="1">
        <f aca="true" t="shared" si="6" ref="G83:G89">D$80*F83/1000</f>
        <v>1.5251063829787233</v>
      </c>
      <c r="H83" s="1">
        <f aca="true" t="shared" si="7" ref="H83:H89">G83*H$184/G$184</f>
        <v>15.934884658088338</v>
      </c>
      <c r="I83" s="6" t="s">
        <v>78</v>
      </c>
      <c r="J83">
        <v>24</v>
      </c>
    </row>
    <row r="84" spans="1:10" ht="12.75">
      <c r="A84" s="5" t="s">
        <v>106</v>
      </c>
      <c r="B84" s="5" t="s">
        <v>210</v>
      </c>
      <c r="C84" s="4"/>
      <c r="D84" s="4"/>
      <c r="E84" s="4"/>
      <c r="F84" s="2">
        <f>F$82*J84/J$90</f>
        <v>0.3971631205673759</v>
      </c>
      <c r="G84" s="1">
        <f t="shared" si="6"/>
        <v>0.5083687943262412</v>
      </c>
      <c r="H84" s="1">
        <f t="shared" si="7"/>
        <v>5.31162821936278</v>
      </c>
      <c r="I84" s="1">
        <f>H84+H85</f>
        <v>6.649020324595194</v>
      </c>
      <c r="J84">
        <v>8</v>
      </c>
    </row>
    <row r="85" spans="1:9" ht="12.75">
      <c r="A85" s="5" t="s">
        <v>117</v>
      </c>
      <c r="B85" s="5" t="s">
        <v>210</v>
      </c>
      <c r="C85" s="4"/>
      <c r="D85" s="4"/>
      <c r="E85" s="4"/>
      <c r="F85" s="2">
        <v>0.1</v>
      </c>
      <c r="G85" s="1">
        <f t="shared" si="6"/>
        <v>0.128</v>
      </c>
      <c r="H85" s="1">
        <f t="shared" si="7"/>
        <v>1.337392105232414</v>
      </c>
      <c r="I85" s="5" t="s">
        <v>118</v>
      </c>
    </row>
    <row r="86" spans="1:10" ht="12.75">
      <c r="A86" s="5" t="s">
        <v>108</v>
      </c>
      <c r="B86" s="5" t="s">
        <v>210</v>
      </c>
      <c r="C86" s="4"/>
      <c r="D86" s="4"/>
      <c r="E86" s="4"/>
      <c r="F86" s="2">
        <f>F$82*J86/J$90</f>
        <v>0.2978723404255319</v>
      </c>
      <c r="G86" s="1">
        <f t="shared" si="6"/>
        <v>0.3812765957446808</v>
      </c>
      <c r="H86" s="1">
        <f t="shared" si="7"/>
        <v>3.9837211645220845</v>
      </c>
      <c r="I86" s="1">
        <f>H86</f>
        <v>3.9837211645220845</v>
      </c>
      <c r="J86">
        <v>6</v>
      </c>
    </row>
    <row r="87" spans="1:10" ht="12.75">
      <c r="A87" s="6" t="s">
        <v>107</v>
      </c>
      <c r="B87" s="13" t="s">
        <v>210</v>
      </c>
      <c r="C87" s="4"/>
      <c r="D87" s="4"/>
      <c r="E87" s="4"/>
      <c r="F87" s="2">
        <f>F$82*J87/J$90</f>
        <v>2.0851063829787235</v>
      </c>
      <c r="G87" s="1">
        <f t="shared" si="6"/>
        <v>2.668936170212766</v>
      </c>
      <c r="H87" s="1">
        <f t="shared" si="7"/>
        <v>27.886048151654595</v>
      </c>
      <c r="I87" s="1">
        <f>H54+H87</f>
        <v>29.02544353505768</v>
      </c>
      <c r="J87">
        <v>42</v>
      </c>
    </row>
    <row r="88" spans="1:10" ht="12.75">
      <c r="A88" s="5" t="s">
        <v>110</v>
      </c>
      <c r="B88" s="5" t="s">
        <v>210</v>
      </c>
      <c r="C88" s="4"/>
      <c r="D88" s="4"/>
      <c r="E88" s="4"/>
      <c r="F88" s="2">
        <f>F$82*J88/J$90</f>
        <v>0.9929078014184397</v>
      </c>
      <c r="G88" s="1">
        <f t="shared" si="6"/>
        <v>1.2709219858156027</v>
      </c>
      <c r="H88" s="1">
        <f t="shared" si="7"/>
        <v>13.279070548406947</v>
      </c>
      <c r="I88" s="1">
        <f>H88</f>
        <v>13.279070548406947</v>
      </c>
      <c r="J88">
        <v>20</v>
      </c>
    </row>
    <row r="89" spans="1:10" ht="12.75">
      <c r="A89" s="5" t="s">
        <v>109</v>
      </c>
      <c r="B89" s="5" t="s">
        <v>210</v>
      </c>
      <c r="C89" s="4"/>
      <c r="D89" s="4"/>
      <c r="E89" s="4"/>
      <c r="F89" s="2">
        <f>F$82*J89/J$90</f>
        <v>2.0354609929078014</v>
      </c>
      <c r="G89" s="1">
        <f t="shared" si="6"/>
        <v>2.6053900709219855</v>
      </c>
      <c r="H89" s="1">
        <f t="shared" si="7"/>
        <v>27.22209462423424</v>
      </c>
      <c r="I89" s="1">
        <f>H89</f>
        <v>27.22209462423424</v>
      </c>
      <c r="J89">
        <v>41</v>
      </c>
    </row>
    <row r="90" spans="1:10" ht="12.75">
      <c r="A90" s="5" t="s">
        <v>116</v>
      </c>
      <c r="B90" s="5" t="s">
        <v>210</v>
      </c>
      <c r="C90" s="4"/>
      <c r="D90" s="4"/>
      <c r="E90" s="4"/>
      <c r="F90" s="2"/>
      <c r="G90" s="1"/>
      <c r="H90" s="1"/>
      <c r="I90" s="1"/>
      <c r="J90">
        <f>SUM(J83:J89)</f>
        <v>141</v>
      </c>
    </row>
    <row r="91" spans="1:9" ht="12.75">
      <c r="A91" s="5" t="s">
        <v>115</v>
      </c>
      <c r="B91" s="5" t="s">
        <v>210</v>
      </c>
      <c r="C91" s="4"/>
      <c r="D91" s="4"/>
      <c r="E91" s="4"/>
      <c r="F91" s="2">
        <v>0.5</v>
      </c>
      <c r="G91" s="1">
        <f>D$80*F91/1000</f>
        <v>0.64</v>
      </c>
      <c r="H91" s="1">
        <f aca="true" t="shared" si="8" ref="H91:H98">G91*H$184/G$184</f>
        <v>6.68696052616207</v>
      </c>
      <c r="I91" s="6" t="s">
        <v>78</v>
      </c>
    </row>
    <row r="92" spans="1:9" ht="12.75">
      <c r="A92" s="6" t="s">
        <v>112</v>
      </c>
      <c r="B92" s="13" t="s">
        <v>210</v>
      </c>
      <c r="C92" s="4"/>
      <c r="D92" s="4"/>
      <c r="E92" s="4"/>
      <c r="F92" s="2">
        <v>2.5</v>
      </c>
      <c r="G92" s="1">
        <f>D$80*F92/1000</f>
        <v>3.2</v>
      </c>
      <c r="H92" s="1">
        <f t="shared" si="8"/>
        <v>33.43480263081035</v>
      </c>
      <c r="I92" s="6" t="s">
        <v>78</v>
      </c>
    </row>
    <row r="93" spans="1:9" ht="12.75">
      <c r="A93" s="6" t="s">
        <v>113</v>
      </c>
      <c r="B93" s="13" t="s">
        <v>210</v>
      </c>
      <c r="C93" s="4"/>
      <c r="D93" s="4"/>
      <c r="E93" s="4"/>
      <c r="F93" s="2">
        <v>1</v>
      </c>
      <c r="G93" s="1">
        <f>D$80*F93/1000</f>
        <v>1.28</v>
      </c>
      <c r="H93" s="1">
        <f t="shared" si="8"/>
        <v>13.37392105232414</v>
      </c>
      <c r="I93" s="6" t="s">
        <v>78</v>
      </c>
    </row>
    <row r="94" spans="1:9" ht="12.75">
      <c r="A94" s="13" t="s">
        <v>305</v>
      </c>
      <c r="B94" s="13" t="s">
        <v>208</v>
      </c>
      <c r="C94" s="4">
        <v>520</v>
      </c>
      <c r="D94" s="4">
        <v>842</v>
      </c>
      <c r="E94" s="4"/>
      <c r="F94" s="16">
        <f>22-F96-F193</f>
        <v>21.786495300211012</v>
      </c>
      <c r="G94" s="1">
        <f>D$94*F94/1000</f>
        <v>18.344229042777673</v>
      </c>
      <c r="H94" s="1">
        <f t="shared" si="8"/>
        <v>191.6673992061408</v>
      </c>
      <c r="I94" s="1">
        <f>H94</f>
        <v>191.6673992061408</v>
      </c>
    </row>
    <row r="95" spans="1:9" ht="12.75">
      <c r="A95" s="13" t="s">
        <v>307</v>
      </c>
      <c r="B95" s="13" t="s">
        <v>208</v>
      </c>
      <c r="C95" s="4"/>
      <c r="D95" s="4"/>
      <c r="E95" s="4"/>
      <c r="F95" s="2">
        <f>0.375/40.507*22</f>
        <v>0.20366850174043996</v>
      </c>
      <c r="G95" s="1">
        <f>D$94*F95/1000</f>
        <v>0.17148887846545047</v>
      </c>
      <c r="H95" s="1">
        <f>G95*H$184/G$184</f>
        <v>1.7917802515222998</v>
      </c>
      <c r="I95" s="1">
        <f>H95</f>
        <v>1.7917802515222998</v>
      </c>
    </row>
    <row r="96" spans="1:9" ht="12.75">
      <c r="A96" s="1" t="s">
        <v>21</v>
      </c>
      <c r="B96" s="13" t="s">
        <v>208</v>
      </c>
      <c r="C96" s="4"/>
      <c r="D96" s="4">
        <f>D$159</f>
        <v>670</v>
      </c>
      <c r="E96" s="4">
        <f>529*591/604</f>
        <v>517.614238410596</v>
      </c>
      <c r="F96" s="2">
        <v>0.2</v>
      </c>
      <c r="G96" s="1">
        <f>E96*F96/1000</f>
        <v>0.10352284768211922</v>
      </c>
      <c r="H96" s="1">
        <f t="shared" si="8"/>
        <v>1.0816456187597185</v>
      </c>
      <c r="I96" s="6" t="s">
        <v>62</v>
      </c>
    </row>
    <row r="97" spans="1:9" ht="12.75">
      <c r="A97" s="13" t="s">
        <v>119</v>
      </c>
      <c r="B97" s="5" t="s">
        <v>208</v>
      </c>
      <c r="C97" s="4"/>
      <c r="D97" s="4">
        <f>D$159</f>
        <v>670</v>
      </c>
      <c r="E97" s="4">
        <f>672*552/675</f>
        <v>549.5466666666666</v>
      </c>
      <c r="F97" s="2">
        <f>2.5*4/6</f>
        <v>1.6666666666666667</v>
      </c>
      <c r="G97" s="1">
        <f>E97*F97/1000</f>
        <v>0.915911111111111</v>
      </c>
      <c r="H97" s="1">
        <f t="shared" si="8"/>
        <v>9.56978350855194</v>
      </c>
      <c r="I97" s="1">
        <f>H97</f>
        <v>9.56978350855194</v>
      </c>
    </row>
    <row r="98" spans="1:9" ht="12.75">
      <c r="A98" s="13" t="s">
        <v>120</v>
      </c>
      <c r="B98" s="5" t="s">
        <v>208</v>
      </c>
      <c r="C98" s="4"/>
      <c r="D98" s="4">
        <f>D$159</f>
        <v>670</v>
      </c>
      <c r="E98" s="4">
        <f>350*552/675</f>
        <v>286.22222222222223</v>
      </c>
      <c r="F98" s="2">
        <f>2*4/11</f>
        <v>0.7272727272727273</v>
      </c>
      <c r="G98" s="1">
        <f>E98*F98/1000</f>
        <v>0.20816161616161616</v>
      </c>
      <c r="H98" s="1">
        <f t="shared" si="8"/>
        <v>2.1749507973981683</v>
      </c>
      <c r="I98" s="1">
        <f>H98</f>
        <v>2.1749507973981683</v>
      </c>
    </row>
    <row r="99" spans="1:9" ht="12.75">
      <c r="A99" s="5" t="s">
        <v>49</v>
      </c>
      <c r="B99" s="5" t="s">
        <v>208</v>
      </c>
      <c r="C99" s="4"/>
      <c r="D99" s="4">
        <f>D94</f>
        <v>842</v>
      </c>
      <c r="E99" s="4"/>
      <c r="F99" s="2">
        <v>5</v>
      </c>
      <c r="G99" s="1"/>
      <c r="H99" s="1"/>
      <c r="I99" s="1">
        <f>H100+H101</f>
        <v>32.821245714355896</v>
      </c>
    </row>
    <row r="100" spans="1:9" ht="12.75">
      <c r="A100" s="5" t="s">
        <v>232</v>
      </c>
      <c r="B100" s="5" t="s">
        <v>208</v>
      </c>
      <c r="C100" s="4"/>
      <c r="D100" s="4"/>
      <c r="E100" s="4">
        <f>698</f>
        <v>698</v>
      </c>
      <c r="F100" s="2">
        <f>F$99*4345/(9395+4345)</f>
        <v>1.5811499272197962</v>
      </c>
      <c r="G100" s="1">
        <f>E100*F100/1000</f>
        <v>1.1036426491994178</v>
      </c>
      <c r="H100" s="1">
        <f>G100*H$184/G$184</f>
        <v>11.531273172164749</v>
      </c>
      <c r="I100" s="1"/>
    </row>
    <row r="101" spans="1:9" ht="12.75">
      <c r="A101" s="5" t="s">
        <v>233</v>
      </c>
      <c r="B101" s="5" t="s">
        <v>208</v>
      </c>
      <c r="C101" s="4"/>
      <c r="D101" s="4"/>
      <c r="E101" s="4">
        <f>596</f>
        <v>596</v>
      </c>
      <c r="F101" s="2">
        <f>F$99*9395/(9395+4345)</f>
        <v>3.4188500727802036</v>
      </c>
      <c r="G101" s="1">
        <f>E101*F101/1000</f>
        <v>2.037634643377001</v>
      </c>
      <c r="H101" s="1">
        <f>G101*H$184/G$184</f>
        <v>21.289972542191148</v>
      </c>
      <c r="I101" s="1"/>
    </row>
    <row r="102" spans="1:9" ht="12.75">
      <c r="A102" s="13" t="s">
        <v>298</v>
      </c>
      <c r="B102" s="5" t="s">
        <v>208</v>
      </c>
      <c r="C102" s="4"/>
      <c r="D102" s="4">
        <f>D$59</f>
        <v>597</v>
      </c>
      <c r="E102" s="4">
        <f>749</f>
        <v>749</v>
      </c>
      <c r="F102" s="2">
        <v>0.5</v>
      </c>
      <c r="G102" s="1">
        <f>E102*F102/1000</f>
        <v>0.3745</v>
      </c>
      <c r="H102" s="1">
        <f>G102*H$184/G$184</f>
        <v>3.912916745387024</v>
      </c>
      <c r="I102" s="1">
        <f>H102</f>
        <v>3.912916745387024</v>
      </c>
    </row>
    <row r="103" spans="1:9" ht="12.75">
      <c r="A103" s="5" t="s">
        <v>252</v>
      </c>
      <c r="B103" s="5" t="s">
        <v>208</v>
      </c>
      <c r="C103" s="4"/>
      <c r="D103" s="4"/>
      <c r="E103" s="4">
        <f>932*591/604</f>
        <v>911.9403973509934</v>
      </c>
      <c r="F103" s="2">
        <v>0.3</v>
      </c>
      <c r="G103" s="1">
        <f>E103*F103/1000</f>
        <v>0.273582119205298</v>
      </c>
      <c r="H103" s="1">
        <f>G103*H$184/G$184</f>
        <v>2.8584887996712403</v>
      </c>
      <c r="I103" s="6" t="s">
        <v>62</v>
      </c>
    </row>
    <row r="104" spans="1:13" ht="12.75">
      <c r="A104" s="1" t="s">
        <v>22</v>
      </c>
      <c r="B104" s="13" t="s">
        <v>209</v>
      </c>
      <c r="C104" s="4"/>
      <c r="D104" s="4">
        <f>D$6</f>
        <v>600</v>
      </c>
      <c r="E104" s="4">
        <v>570</v>
      </c>
      <c r="F104" s="2">
        <v>0.5</v>
      </c>
      <c r="G104" s="1">
        <f>E104*F104/1000</f>
        <v>0.285</v>
      </c>
      <c r="H104" s="1">
        <f>G104*H$184/G$184</f>
        <v>2.977787109306547</v>
      </c>
      <c r="I104" s="6" t="s">
        <v>62</v>
      </c>
      <c r="M104" t="s">
        <v>200</v>
      </c>
    </row>
    <row r="105" spans="1:14" ht="12.75">
      <c r="A105" s="5" t="s">
        <v>23</v>
      </c>
      <c r="B105" s="5" t="s">
        <v>208</v>
      </c>
      <c r="C105" s="4"/>
      <c r="D105" s="4"/>
      <c r="E105" s="4">
        <f>750</f>
        <v>750</v>
      </c>
      <c r="F105" s="2">
        <v>0.5</v>
      </c>
      <c r="G105" s="1"/>
      <c r="H105" s="1"/>
      <c r="I105" s="1"/>
      <c r="M105">
        <v>0.5</v>
      </c>
      <c r="N105" t="s">
        <v>198</v>
      </c>
    </row>
    <row r="106" spans="1:9" ht="12.75">
      <c r="A106" s="5" t="s">
        <v>243</v>
      </c>
      <c r="B106" s="5" t="s">
        <v>208</v>
      </c>
      <c r="C106" s="4"/>
      <c r="D106" s="4"/>
      <c r="E106" s="4">
        <f>750</f>
        <v>750</v>
      </c>
      <c r="F106" s="16">
        <f>(0.2+0.08+0.16+0.15)/17.25*2.25</f>
        <v>0.07695652173913045</v>
      </c>
      <c r="G106" s="1">
        <f>E104*F106/1000</f>
        <v>0.043865217391304355</v>
      </c>
      <c r="H106" s="1">
        <f>G106*H$184/G$184</f>
        <v>0.4583202768237034</v>
      </c>
      <c r="I106" s="1">
        <f>H106</f>
        <v>0.4583202768237034</v>
      </c>
    </row>
    <row r="107" spans="1:9" ht="12.75">
      <c r="A107" s="5" t="s">
        <v>244</v>
      </c>
      <c r="B107" s="5" t="s">
        <v>208</v>
      </c>
      <c r="C107" s="4"/>
      <c r="D107" s="4"/>
      <c r="E107" s="4"/>
      <c r="F107" s="16">
        <f>0.48/2.46*F105</f>
        <v>0.0975609756097561</v>
      </c>
      <c r="G107" s="1">
        <f>E$105*F107/1000</f>
        <v>0.07317073170731707</v>
      </c>
      <c r="H107" s="1">
        <f>G107*H$184/G$184</f>
        <v>0.7645153040581636</v>
      </c>
      <c r="I107" s="1">
        <f>H107</f>
        <v>0.7645153040581636</v>
      </c>
    </row>
    <row r="108" spans="1:14" ht="12.75">
      <c r="A108" s="5" t="s">
        <v>124</v>
      </c>
      <c r="B108" s="5" t="s">
        <v>208</v>
      </c>
      <c r="C108" s="4"/>
      <c r="D108" s="4">
        <f>D$59</f>
        <v>597</v>
      </c>
      <c r="E108" s="4"/>
      <c r="F108" s="16">
        <f>0.15/2.46*F$105</f>
        <v>0.03048780487804878</v>
      </c>
      <c r="G108" s="1">
        <f>E105*F108/1000</f>
        <v>0.022865853658536585</v>
      </c>
      <c r="H108" s="1">
        <f>G108*H$184/G$184</f>
        <v>0.2389110325181761</v>
      </c>
      <c r="I108" s="1">
        <f>H108+H69</f>
        <v>0.5356466186732741</v>
      </c>
      <c r="M108">
        <v>2.67</v>
      </c>
      <c r="N108" t="s">
        <v>190</v>
      </c>
    </row>
    <row r="109" spans="1:9" ht="12.75">
      <c r="A109" s="5" t="s">
        <v>205</v>
      </c>
      <c r="B109" s="5" t="s">
        <v>209</v>
      </c>
      <c r="C109" s="4"/>
      <c r="D109" s="4">
        <f>D$112</f>
        <v>498</v>
      </c>
      <c r="E109" s="4">
        <v>360</v>
      </c>
      <c r="F109" s="2">
        <f>0.3+(0.27/4/2*1.25)+(0.38/2.16*0.44)</f>
        <v>0.4195949074074074</v>
      </c>
      <c r="G109" s="1">
        <f>E109*F109/1000</f>
        <v>0.15105416666666668</v>
      </c>
      <c r="H109" s="1">
        <f>G109*H$184/G$184</f>
        <v>1.5782707028317289</v>
      </c>
      <c r="I109" s="1">
        <f>H109</f>
        <v>1.5782707028317289</v>
      </c>
    </row>
    <row r="110" spans="1:14" ht="12.75">
      <c r="A110" s="13" t="s">
        <v>161</v>
      </c>
      <c r="B110" s="13" t="s">
        <v>211</v>
      </c>
      <c r="C110" s="4">
        <v>454</v>
      </c>
      <c r="D110" s="4">
        <f>C110*41074/30481</f>
        <v>611.7776975821004</v>
      </c>
      <c r="E110" s="4">
        <f>1054*454/728</f>
        <v>657.3021978021978</v>
      </c>
      <c r="F110" s="2">
        <v>3.5</v>
      </c>
      <c r="G110" s="1">
        <f>E110*F110/1000</f>
        <v>2.3005576923076925</v>
      </c>
      <c r="H110" s="1">
        <f>G110*H$184/G$184</f>
        <v>24.03709136971882</v>
      </c>
      <c r="I110" s="6" t="s">
        <v>72</v>
      </c>
      <c r="M110">
        <v>1.46</v>
      </c>
      <c r="N110" t="s">
        <v>191</v>
      </c>
    </row>
    <row r="111" spans="1:14" ht="12.75">
      <c r="A111" s="13" t="s">
        <v>162</v>
      </c>
      <c r="B111" s="13" t="s">
        <v>208</v>
      </c>
      <c r="C111" s="4"/>
      <c r="D111" s="4"/>
      <c r="E111" s="4"/>
      <c r="F111" s="2">
        <v>0.6</v>
      </c>
      <c r="G111" s="1"/>
      <c r="H111" s="1"/>
      <c r="I111" s="6"/>
      <c r="M111">
        <v>0.67</v>
      </c>
      <c r="N111" t="s">
        <v>192</v>
      </c>
    </row>
    <row r="112" spans="1:13" ht="12.75">
      <c r="A112" s="1" t="s">
        <v>24</v>
      </c>
      <c r="B112" s="13" t="s">
        <v>209</v>
      </c>
      <c r="C112" s="4">
        <v>430</v>
      </c>
      <c r="D112" s="4">
        <v>498</v>
      </c>
      <c r="E112" s="4"/>
      <c r="F112" s="2">
        <v>2.25</v>
      </c>
      <c r="G112" s="1">
        <f>D112*F112/1000</f>
        <v>1.1205</v>
      </c>
      <c r="H112" s="1">
        <f aca="true" t="shared" si="9" ref="H112:H119">G112*H$184/G$184</f>
        <v>11.707405108694687</v>
      </c>
      <c r="I112" s="1">
        <f aca="true" t="shared" si="10" ref="I112:I119">H112</f>
        <v>11.707405108694687</v>
      </c>
      <c r="M112">
        <f>SUM(M105:M111)</f>
        <v>5.3</v>
      </c>
    </row>
    <row r="113" spans="1:9" ht="12.75">
      <c r="A113" s="13" t="s">
        <v>189</v>
      </c>
      <c r="B113" s="13" t="s">
        <v>209</v>
      </c>
      <c r="C113" s="4"/>
      <c r="D113" s="4"/>
      <c r="E113" s="4"/>
      <c r="F113" s="2">
        <f>3.5*(2.67/5.3)/4</f>
        <v>0.4408018867924528</v>
      </c>
      <c r="G113" s="1">
        <f>D112*F113/1000</f>
        <v>0.2195193396226415</v>
      </c>
      <c r="H113" s="1">
        <f t="shared" si="9"/>
        <v>2.293620560602764</v>
      </c>
      <c r="I113" s="1">
        <f t="shared" si="10"/>
        <v>2.293620560602764</v>
      </c>
    </row>
    <row r="114" spans="1:9" ht="12.75">
      <c r="A114" s="13" t="s">
        <v>206</v>
      </c>
      <c r="B114" s="13" t="s">
        <v>209</v>
      </c>
      <c r="C114" s="4"/>
      <c r="D114" s="4">
        <f>D$112</f>
        <v>498</v>
      </c>
      <c r="E114" s="4">
        <f>358</f>
        <v>358</v>
      </c>
      <c r="F114" s="2">
        <f>(0.34/4*1.25)+(0.91/4/2*1.25)+(0.37/4/2*1.25)</f>
        <v>0.30625</v>
      </c>
      <c r="G114" s="1">
        <f>E114*F114/1000</f>
        <v>0.1096375</v>
      </c>
      <c r="H114" s="1">
        <f t="shared" si="9"/>
        <v>1.1455338041985843</v>
      </c>
      <c r="I114" s="1">
        <f t="shared" si="10"/>
        <v>1.1455338041985843</v>
      </c>
    </row>
    <row r="115" spans="1:12" ht="12.75">
      <c r="A115" s="13" t="s">
        <v>159</v>
      </c>
      <c r="B115" s="13" t="s">
        <v>208</v>
      </c>
      <c r="C115" s="4"/>
      <c r="D115" s="4">
        <f>D$59</f>
        <v>597</v>
      </c>
      <c r="E115" s="4">
        <f>419</f>
        <v>419</v>
      </c>
      <c r="F115" s="2">
        <v>2.5</v>
      </c>
      <c r="G115" s="1">
        <f>D115*F115/1000*K115</f>
        <v>0.19614695340501792</v>
      </c>
      <c r="H115" s="1">
        <f t="shared" si="9"/>
        <v>2.0494170855411027</v>
      </c>
      <c r="I115" s="1">
        <f t="shared" si="10"/>
        <v>2.0494170855411027</v>
      </c>
      <c r="J115" s="5" t="s">
        <v>125</v>
      </c>
      <c r="K115">
        <f>1.1/8.37</f>
        <v>0.13142174432497014</v>
      </c>
      <c r="L115" s="14" t="s">
        <v>131</v>
      </c>
    </row>
    <row r="116" spans="1:9" ht="12.75">
      <c r="A116" s="5" t="s">
        <v>127</v>
      </c>
      <c r="B116" s="5" t="s">
        <v>210</v>
      </c>
      <c r="C116" s="4">
        <v>1381</v>
      </c>
      <c r="D116" s="4">
        <v>1919</v>
      </c>
      <c r="E116" s="4"/>
      <c r="F116" s="2">
        <v>1.5</v>
      </c>
      <c r="G116" s="1">
        <f>D116*F116/1000</f>
        <v>2.8785</v>
      </c>
      <c r="H116" s="1">
        <f t="shared" si="9"/>
        <v>30.075649803996125</v>
      </c>
      <c r="I116" s="1">
        <f t="shared" si="10"/>
        <v>30.075649803996125</v>
      </c>
    </row>
    <row r="117" spans="1:9" ht="12.75">
      <c r="A117" s="5" t="s">
        <v>202</v>
      </c>
      <c r="B117" s="5" t="s">
        <v>209</v>
      </c>
      <c r="C117" s="4"/>
      <c r="D117" s="4">
        <f>D$112</f>
        <v>498</v>
      </c>
      <c r="E117" s="4">
        <v>576</v>
      </c>
      <c r="F117" s="2">
        <f>2.43/30.417*14*(19.5/35)</f>
        <v>0.6231383765657362</v>
      </c>
      <c r="G117" s="1">
        <f>E117*F117/1000</f>
        <v>0.35892770490186404</v>
      </c>
      <c r="H117" s="1">
        <f t="shared" si="9"/>
        <v>3.7502115537886143</v>
      </c>
      <c r="I117" s="1">
        <f t="shared" si="10"/>
        <v>3.7502115537886143</v>
      </c>
    </row>
    <row r="118" spans="1:9" ht="12.75">
      <c r="A118" s="1" t="s">
        <v>25</v>
      </c>
      <c r="B118" s="13" t="s">
        <v>210</v>
      </c>
      <c r="C118" s="4">
        <v>665</v>
      </c>
      <c r="D118" s="4">
        <f>C118*41074/30481</f>
        <v>896.1060988812703</v>
      </c>
      <c r="E118" s="4">
        <f>950*665/788</f>
        <v>801.7131979695431</v>
      </c>
      <c r="F118" s="2">
        <v>0.5</v>
      </c>
      <c r="G118" s="1">
        <f>E118*F118/1000</f>
        <v>0.40085659898477155</v>
      </c>
      <c r="H118" s="1">
        <f t="shared" si="9"/>
        <v>4.188300396973041</v>
      </c>
      <c r="I118" s="5" t="s">
        <v>128</v>
      </c>
    </row>
    <row r="119" spans="1:10" ht="12.75">
      <c r="A119" s="1" t="s">
        <v>26</v>
      </c>
      <c r="B119" s="13" t="s">
        <v>208</v>
      </c>
      <c r="C119" s="4"/>
      <c r="D119" s="4">
        <f>D$6</f>
        <v>600</v>
      </c>
      <c r="E119" s="4">
        <f>883*591/604</f>
        <v>863.9950331125827</v>
      </c>
      <c r="F119" s="16">
        <f>0.18/2</f>
        <v>0.09</v>
      </c>
      <c r="G119" s="1">
        <f>E119*F119/1000</f>
        <v>0.07775955298013244</v>
      </c>
      <c r="H119" s="1">
        <f t="shared" si="9"/>
        <v>0.8124610332971153</v>
      </c>
      <c r="I119" s="1">
        <f t="shared" si="10"/>
        <v>0.8124610332971153</v>
      </c>
      <c r="J119" s="7" t="s">
        <v>138</v>
      </c>
    </row>
    <row r="120" spans="1:9" ht="12.75">
      <c r="A120" s="1" t="s">
        <v>27</v>
      </c>
      <c r="B120" s="13" t="s">
        <v>208</v>
      </c>
      <c r="C120" s="4"/>
      <c r="D120" s="4"/>
      <c r="E120" s="4"/>
      <c r="F120" s="2">
        <v>28</v>
      </c>
      <c r="G120" s="1"/>
      <c r="H120" s="1"/>
      <c r="I120" s="1">
        <f>H5+H6+H9+H12+H17+H33+H40+H43+H47+H53+H57+H77+H79+H96+H103+H104+H140+H143+H154+H158+H160+H161+H162+H174+SUM(H178:H182)</f>
        <v>240.21802765069708</v>
      </c>
    </row>
    <row r="121" spans="1:9" ht="12.75">
      <c r="A121" s="1" t="s">
        <v>28</v>
      </c>
      <c r="B121" s="13" t="s">
        <v>208</v>
      </c>
      <c r="C121" s="4"/>
      <c r="D121" s="4">
        <v>700</v>
      </c>
      <c r="E121" s="4"/>
      <c r="F121" s="8"/>
      <c r="G121" s="1">
        <f>D121*F121/1000</f>
        <v>0</v>
      </c>
      <c r="H121" s="1"/>
      <c r="I121" s="5" t="s">
        <v>63</v>
      </c>
    </row>
    <row r="122" spans="1:9" ht="12.75">
      <c r="A122" s="5" t="s">
        <v>47</v>
      </c>
      <c r="B122" s="5" t="s">
        <v>208</v>
      </c>
      <c r="C122" s="4"/>
      <c r="D122" s="4">
        <v>654</v>
      </c>
      <c r="E122" s="4"/>
      <c r="F122" s="2"/>
      <c r="G122" s="1">
        <f>D122*F122/1000</f>
        <v>0</v>
      </c>
      <c r="H122" s="1"/>
      <c r="I122" s="5" t="s">
        <v>63</v>
      </c>
    </row>
    <row r="123" spans="1:9" ht="12.75">
      <c r="A123" s="5" t="s">
        <v>225</v>
      </c>
      <c r="B123" s="5" t="s">
        <v>211</v>
      </c>
      <c r="C123" s="4"/>
      <c r="D123" s="4"/>
      <c r="E123" s="4">
        <f>687*438/663</f>
        <v>453.8552036199095</v>
      </c>
      <c r="F123" s="2">
        <f>0.1*0.6/2.25</f>
        <v>0.026666666666666665</v>
      </c>
      <c r="G123" s="1">
        <f>E123*F123/1000</f>
        <v>0.012102805429864253</v>
      </c>
      <c r="H123" s="1"/>
      <c r="I123" s="5"/>
    </row>
    <row r="124" spans="1:9" ht="12.75">
      <c r="A124" s="5" t="s">
        <v>224</v>
      </c>
      <c r="B124" s="5" t="s">
        <v>211</v>
      </c>
      <c r="C124" s="4"/>
      <c r="D124" s="4"/>
      <c r="E124" s="4">
        <f>564*438/663</f>
        <v>372.5972850678733</v>
      </c>
      <c r="F124" s="2">
        <v>0.2</v>
      </c>
      <c r="G124" s="1">
        <f>E124*F124/1000</f>
        <v>0.07451945701357467</v>
      </c>
      <c r="H124" s="1"/>
      <c r="I124" s="5"/>
    </row>
    <row r="125" spans="1:9" ht="12.75">
      <c r="A125" s="5" t="s">
        <v>223</v>
      </c>
      <c r="B125" s="5" t="s">
        <v>211</v>
      </c>
      <c r="C125" s="4"/>
      <c r="D125" s="4"/>
      <c r="E125" s="4">
        <f>697*438/663</f>
        <v>460.46153846153845</v>
      </c>
      <c r="F125" s="2">
        <v>1.5</v>
      </c>
      <c r="G125" s="1">
        <f>E125*F125/1000</f>
        <v>0.6906923076923076</v>
      </c>
      <c r="H125" s="1"/>
      <c r="I125" s="5"/>
    </row>
    <row r="126" spans="1:13" ht="12.75">
      <c r="A126" s="13" t="s">
        <v>222</v>
      </c>
      <c r="B126" s="13" t="s">
        <v>211</v>
      </c>
      <c r="C126" s="4"/>
      <c r="D126" s="4">
        <f>D$16</f>
        <v>585.1668908500377</v>
      </c>
      <c r="E126" s="4"/>
      <c r="F126" s="2">
        <v>4.13</v>
      </c>
      <c r="G126" s="1"/>
      <c r="H126" s="1">
        <f>(G15+G25+G30+G39+G123+G124+G125)*H$184/G$184</f>
        <v>20.174211943421685</v>
      </c>
      <c r="I126" s="13" t="s">
        <v>72</v>
      </c>
      <c r="L126">
        <f>SUM(L127:L139)</f>
        <v>4</v>
      </c>
      <c r="M126" s="14" t="s">
        <v>152</v>
      </c>
    </row>
    <row r="127" spans="1:13" ht="12.75">
      <c r="A127" s="6" t="s">
        <v>141</v>
      </c>
      <c r="B127" s="13" t="s">
        <v>208</v>
      </c>
      <c r="C127" s="4"/>
      <c r="D127" s="4">
        <f>D$59</f>
        <v>597</v>
      </c>
      <c r="E127" s="4">
        <f>627</f>
        <v>627</v>
      </c>
      <c r="F127" s="2">
        <v>0.667</v>
      </c>
      <c r="G127" s="1">
        <f>E127*F127/1000</f>
        <v>0.418209</v>
      </c>
      <c r="H127" s="1">
        <f>G127*H$184/G$184</f>
        <v>4.369604804196427</v>
      </c>
      <c r="I127" s="6" t="s">
        <v>72</v>
      </c>
      <c r="L127">
        <v>0.8</v>
      </c>
      <c r="M127" s="14" t="s">
        <v>153</v>
      </c>
    </row>
    <row r="128" spans="1:13" ht="12.75">
      <c r="A128" s="6" t="s">
        <v>81</v>
      </c>
      <c r="B128" s="13" t="s">
        <v>210</v>
      </c>
      <c r="C128" s="4">
        <v>548</v>
      </c>
      <c r="D128" s="4">
        <f>C128*41074/30481</f>
        <v>738.4453265968964</v>
      </c>
      <c r="E128" s="4"/>
      <c r="F128" s="2">
        <v>0.5</v>
      </c>
      <c r="G128" s="1">
        <f>D128*F128/1000</f>
        <v>0.3692226632984482</v>
      </c>
      <c r="H128" s="1">
        <f>G128*H$184/G$184</f>
        <v>3.8577771481893</v>
      </c>
      <c r="I128" s="6" t="s">
        <v>68</v>
      </c>
      <c r="L128">
        <v>1.5</v>
      </c>
      <c r="M128" s="14" t="s">
        <v>154</v>
      </c>
    </row>
    <row r="129" spans="1:13" ht="12.75">
      <c r="A129" s="13" t="s">
        <v>239</v>
      </c>
      <c r="B129" s="13" t="s">
        <v>210</v>
      </c>
      <c r="C129" s="4">
        <v>548</v>
      </c>
      <c r="D129" s="4">
        <f>C129*41074/30481</f>
        <v>738.4453265968964</v>
      </c>
      <c r="E129" s="4"/>
      <c r="F129" s="2">
        <v>9.5</v>
      </c>
      <c r="G129" s="1"/>
      <c r="H129" s="1"/>
      <c r="I129" s="1">
        <f>SUM(H130:H135)</f>
        <v>85.46339556300248</v>
      </c>
      <c r="L129">
        <v>0.5</v>
      </c>
      <c r="M129" s="14" t="s">
        <v>155</v>
      </c>
    </row>
    <row r="130" spans="1:13" ht="12.75">
      <c r="A130" s="13" t="s">
        <v>234</v>
      </c>
      <c r="B130" s="13" t="s">
        <v>210</v>
      </c>
      <c r="C130" s="4">
        <v>548</v>
      </c>
      <c r="D130" s="4">
        <v>1454</v>
      </c>
      <c r="E130" s="4"/>
      <c r="F130" s="2">
        <v>3.5</v>
      </c>
      <c r="G130" s="1">
        <f>D130*F130/1000</f>
        <v>5.089</v>
      </c>
      <c r="H130" s="1">
        <f aca="true" t="shared" si="11" ref="H130:H137">G130*H$184/G$184</f>
        <v>53.171784558810586</v>
      </c>
      <c r="I130" s="1"/>
      <c r="M130" s="14"/>
    </row>
    <row r="131" spans="1:13" ht="12.75">
      <c r="A131" s="13" t="s">
        <v>236</v>
      </c>
      <c r="B131" s="13" t="s">
        <v>210</v>
      </c>
      <c r="C131" s="4"/>
      <c r="D131" s="4"/>
      <c r="E131" s="4">
        <f>588*552/675</f>
        <v>480.85333333333335</v>
      </c>
      <c r="F131" s="2">
        <v>0.25</v>
      </c>
      <c r="G131" s="1">
        <f aca="true" t="shared" si="12" ref="G131:G136">E131*F131/1000</f>
        <v>0.12021333333333334</v>
      </c>
      <c r="H131" s="1">
        <f t="shared" si="11"/>
        <v>1.2560340854974423</v>
      </c>
      <c r="I131" s="1"/>
      <c r="M131" s="14"/>
    </row>
    <row r="132" spans="1:13" ht="12.75">
      <c r="A132" s="13" t="s">
        <v>235</v>
      </c>
      <c r="B132" s="13" t="s">
        <v>210</v>
      </c>
      <c r="C132" s="4"/>
      <c r="D132" s="4"/>
      <c r="E132" s="4">
        <f>1059*552/675</f>
        <v>866.0266666666666</v>
      </c>
      <c r="F132" s="2">
        <v>0.5</v>
      </c>
      <c r="G132" s="1">
        <f t="shared" si="12"/>
        <v>0.4330133333333333</v>
      </c>
      <c r="H132" s="1">
        <f t="shared" si="11"/>
        <v>4.524286042659154</v>
      </c>
      <c r="I132" s="1"/>
      <c r="M132" s="14"/>
    </row>
    <row r="133" spans="1:13" ht="12.75">
      <c r="A133" s="13" t="s">
        <v>237</v>
      </c>
      <c r="B133" s="13" t="s">
        <v>210</v>
      </c>
      <c r="C133" s="4"/>
      <c r="D133" s="4"/>
      <c r="E133" s="18">
        <f>616*552/675</f>
        <v>503.75111111111113</v>
      </c>
      <c r="F133" s="2">
        <v>4</v>
      </c>
      <c r="G133" s="1">
        <f t="shared" si="12"/>
        <v>2.0150044444444446</v>
      </c>
      <c r="H133" s="1">
        <f t="shared" si="11"/>
        <v>21.05352371881427</v>
      </c>
      <c r="I133" s="1"/>
      <c r="M133" s="14"/>
    </row>
    <row r="134" spans="1:13" ht="12.75">
      <c r="A134" s="13" t="s">
        <v>238</v>
      </c>
      <c r="B134" s="13" t="s">
        <v>210</v>
      </c>
      <c r="C134" s="4"/>
      <c r="D134" s="4"/>
      <c r="E134" s="4">
        <f>511*552/675</f>
        <v>417.88444444444445</v>
      </c>
      <c r="F134" s="2">
        <v>0.75</v>
      </c>
      <c r="G134" s="1">
        <f t="shared" si="12"/>
        <v>0.3134133333333334</v>
      </c>
      <c r="H134" s="1">
        <f t="shared" si="11"/>
        <v>3.2746602943326173</v>
      </c>
      <c r="I134" s="1"/>
      <c r="M134" s="14"/>
    </row>
    <row r="135" spans="1:13" ht="12.75">
      <c r="A135" s="13" t="s">
        <v>242</v>
      </c>
      <c r="B135" s="13" t="s">
        <v>210</v>
      </c>
      <c r="C135" s="4"/>
      <c r="D135" s="4"/>
      <c r="E135" s="4">
        <f>511*552/675</f>
        <v>417.88444444444445</v>
      </c>
      <c r="F135" s="2">
        <v>0.5</v>
      </c>
      <c r="G135" s="1">
        <f t="shared" si="12"/>
        <v>0.20894222222222222</v>
      </c>
      <c r="H135" s="1">
        <f t="shared" si="11"/>
        <v>2.1831068628884114</v>
      </c>
      <c r="I135" s="1"/>
      <c r="M135" s="14"/>
    </row>
    <row r="136" spans="1:13" ht="12.75">
      <c r="A136" s="13" t="s">
        <v>213</v>
      </c>
      <c r="B136" s="13" t="s">
        <v>210</v>
      </c>
      <c r="C136" s="4">
        <v>740</v>
      </c>
      <c r="D136" s="4">
        <f>1163*1413/1312</f>
        <v>1252.529725609756</v>
      </c>
      <c r="E136" s="4">
        <f>1163*740/819</f>
        <v>1050.8180708180707</v>
      </c>
      <c r="F136" s="2">
        <v>2</v>
      </c>
      <c r="G136" s="1">
        <f t="shared" si="12"/>
        <v>2.1016361416361415</v>
      </c>
      <c r="H136" s="1">
        <f t="shared" si="11"/>
        <v>21.958684249181932</v>
      </c>
      <c r="I136" s="6" t="s">
        <v>78</v>
      </c>
      <c r="L136">
        <v>0.7</v>
      </c>
      <c r="M136" s="14" t="s">
        <v>156</v>
      </c>
    </row>
    <row r="137" spans="1:13" ht="12.75">
      <c r="A137" s="13" t="s">
        <v>184</v>
      </c>
      <c r="B137" s="13" t="s">
        <v>210</v>
      </c>
      <c r="C137" s="4"/>
      <c r="D137" s="4"/>
      <c r="E137" s="4"/>
      <c r="F137" s="2">
        <v>0.06</v>
      </c>
      <c r="G137" s="1">
        <f>E136*F137/1000</f>
        <v>0.06304908424908424</v>
      </c>
      <c r="H137" s="1">
        <f t="shared" si="11"/>
        <v>0.658760527475458</v>
      </c>
      <c r="I137" s="6" t="s">
        <v>78</v>
      </c>
      <c r="M137" s="14"/>
    </row>
    <row r="138" spans="1:13" ht="12.75">
      <c r="A138" s="1" t="s">
        <v>29</v>
      </c>
      <c r="B138" s="13" t="s">
        <v>210</v>
      </c>
      <c r="C138" s="4">
        <v>548</v>
      </c>
      <c r="D138" s="4">
        <f>C138*41074/30481</f>
        <v>738.4453265968964</v>
      </c>
      <c r="E138" s="4">
        <f>1094*548/670</f>
        <v>894.7940298507463</v>
      </c>
      <c r="F138" s="2">
        <v>2</v>
      </c>
      <c r="G138" s="1"/>
      <c r="H138" s="1"/>
      <c r="I138" s="1"/>
      <c r="L138">
        <v>0.2</v>
      </c>
      <c r="M138" s="14" t="s">
        <v>158</v>
      </c>
    </row>
    <row r="139" spans="1:13" ht="12.75">
      <c r="A139" s="6" t="s">
        <v>137</v>
      </c>
      <c r="B139" s="13" t="s">
        <v>210</v>
      </c>
      <c r="C139" s="4">
        <v>548</v>
      </c>
      <c r="D139" s="4">
        <f>C139*41074/30481</f>
        <v>738.4453265968964</v>
      </c>
      <c r="E139" s="4"/>
      <c r="F139" s="2">
        <v>0.88</v>
      </c>
      <c r="G139" s="1">
        <f>E138*F139/1000</f>
        <v>0.7874187462686567</v>
      </c>
      <c r="H139" s="1">
        <f aca="true" t="shared" si="13" ref="H139:H144">G139*H$184/G$184</f>
        <v>8.22724699040396</v>
      </c>
      <c r="I139" s="1">
        <f>H139</f>
        <v>8.22724699040396</v>
      </c>
      <c r="L139">
        <v>0.3</v>
      </c>
      <c r="M139" s="14" t="s">
        <v>157</v>
      </c>
    </row>
    <row r="140" spans="1:10" ht="12.75">
      <c r="A140" s="6" t="s">
        <v>140</v>
      </c>
      <c r="B140" s="13" t="s">
        <v>210</v>
      </c>
      <c r="C140" s="4">
        <v>548</v>
      </c>
      <c r="D140" s="4">
        <f>C140*41074/30481</f>
        <v>738.4453265968964</v>
      </c>
      <c r="E140" s="4"/>
      <c r="F140" s="2">
        <f>F138-F139</f>
        <v>1.12</v>
      </c>
      <c r="G140" s="1">
        <f>E138*F140/1000</f>
        <v>1.002169313432836</v>
      </c>
      <c r="H140" s="1">
        <f t="shared" si="13"/>
        <v>10.471041624150496</v>
      </c>
      <c r="I140" s="13" t="s">
        <v>62</v>
      </c>
      <c r="J140" s="7" t="s">
        <v>139</v>
      </c>
    </row>
    <row r="141" spans="1:9" ht="12.75">
      <c r="A141" s="17" t="s">
        <v>251</v>
      </c>
      <c r="B141" s="17" t="s">
        <v>210</v>
      </c>
      <c r="C141" s="4">
        <v>552</v>
      </c>
      <c r="D141" s="4">
        <f>C141*41074/30481</f>
        <v>743.8354384698665</v>
      </c>
      <c r="E141" s="4">
        <f>992*552/675</f>
        <v>811.2355555555556</v>
      </c>
      <c r="F141" s="1">
        <v>14</v>
      </c>
      <c r="G141" s="1">
        <f>E141*F141/1000</f>
        <v>11.357297777777777</v>
      </c>
      <c r="H141" s="1">
        <f t="shared" si="13"/>
        <v>118.66531550604407</v>
      </c>
      <c r="I141" s="1">
        <f>H141</f>
        <v>118.66531550604407</v>
      </c>
    </row>
    <row r="142" spans="1:14" ht="12.75">
      <c r="A142" s="17" t="s">
        <v>201</v>
      </c>
      <c r="B142" s="17" t="s">
        <v>209</v>
      </c>
      <c r="C142" s="4"/>
      <c r="D142" s="4">
        <f>D$112</f>
        <v>498</v>
      </c>
      <c r="E142" s="4">
        <v>421</v>
      </c>
      <c r="F142" s="1">
        <f>1.2*(14/27)/3</f>
        <v>0.20740740740740737</v>
      </c>
      <c r="G142" s="1">
        <f>E142*F142/1000</f>
        <v>0.0873185185185185</v>
      </c>
      <c r="H142" s="1">
        <f t="shared" si="13"/>
        <v>0.9123366977129452</v>
      </c>
      <c r="I142" s="1">
        <f>H142</f>
        <v>0.9123366977129452</v>
      </c>
      <c r="L142" t="s">
        <v>167</v>
      </c>
      <c r="N142" t="s">
        <v>173</v>
      </c>
    </row>
    <row r="143" spans="1:16" ht="12.75">
      <c r="A143" s="1" t="s">
        <v>30</v>
      </c>
      <c r="B143" s="13" t="s">
        <v>208</v>
      </c>
      <c r="C143" s="4"/>
      <c r="D143" s="4">
        <f>D$6</f>
        <v>600</v>
      </c>
      <c r="E143" s="4">
        <f>441*591/604</f>
        <v>431.5082781456954</v>
      </c>
      <c r="F143" s="12">
        <f>2.1-0.5</f>
        <v>1.6</v>
      </c>
      <c r="G143" s="1">
        <f>E143*F143/1000</f>
        <v>0.6904132450331126</v>
      </c>
      <c r="H143" s="1">
        <f t="shared" si="13"/>
        <v>7.21369705668107</v>
      </c>
      <c r="I143" s="6" t="s">
        <v>62</v>
      </c>
      <c r="L143" s="9">
        <f>H5</f>
        <v>0.9775540691295553</v>
      </c>
      <c r="M143" t="s">
        <v>165</v>
      </c>
      <c r="N143" s="9">
        <f>H9</f>
        <v>0.9285625534712711</v>
      </c>
      <c r="O143" t="s">
        <v>183</v>
      </c>
      <c r="P143" s="14" t="s">
        <v>277</v>
      </c>
    </row>
    <row r="144" spans="1:16" ht="12.75">
      <c r="A144" s="1" t="s">
        <v>31</v>
      </c>
      <c r="B144" s="13" t="s">
        <v>210</v>
      </c>
      <c r="C144" s="4">
        <v>853</v>
      </c>
      <c r="D144" s="4">
        <v>1413</v>
      </c>
      <c r="E144" s="4"/>
      <c r="F144" s="2">
        <v>8.5</v>
      </c>
      <c r="G144" s="1">
        <f>D144*F144/1000</f>
        <v>12.0105</v>
      </c>
      <c r="H144" s="1">
        <f t="shared" si="13"/>
        <v>125.49021781167117</v>
      </c>
      <c r="I144" s="6" t="s">
        <v>78</v>
      </c>
      <c r="L144" s="9">
        <f>H17</f>
        <v>6.79393941890804</v>
      </c>
      <c r="M144" t="s">
        <v>166</v>
      </c>
      <c r="N144" s="9">
        <f>H12</f>
        <v>2.037851220347891</v>
      </c>
      <c r="O144" t="s">
        <v>174</v>
      </c>
      <c r="P144" s="14" t="s">
        <v>277</v>
      </c>
    </row>
    <row r="145" spans="1:16" ht="12.75">
      <c r="A145" s="6" t="s">
        <v>75</v>
      </c>
      <c r="B145" s="13" t="s">
        <v>211</v>
      </c>
      <c r="C145" s="4"/>
      <c r="D145" s="4"/>
      <c r="E145" s="4"/>
      <c r="F145" s="2"/>
      <c r="G145" s="1"/>
      <c r="H145" s="9"/>
      <c r="I145" s="9">
        <f>H13+H31+H32+H37+H38+H110+H126+H127+H166</f>
        <v>53.371781868823156</v>
      </c>
      <c r="L145" s="9">
        <f>H53</f>
        <v>10.254558450627757</v>
      </c>
      <c r="M145" t="s">
        <v>168</v>
      </c>
      <c r="N145" s="9">
        <f>H47</f>
        <v>1.802878857414696</v>
      </c>
      <c r="O145" t="s">
        <v>175</v>
      </c>
      <c r="P145" s="14" t="s">
        <v>277</v>
      </c>
    </row>
    <row r="146" spans="1:16" ht="12.75">
      <c r="A146" s="6" t="s">
        <v>57</v>
      </c>
      <c r="B146" s="13" t="s">
        <v>210</v>
      </c>
      <c r="C146" s="4"/>
      <c r="D146" s="4"/>
      <c r="E146" s="4"/>
      <c r="F146" s="2"/>
      <c r="G146" s="1"/>
      <c r="H146" s="9"/>
      <c r="I146" s="1">
        <f>H14+H22+H46+H83+H91+H92+H93+H136+H137+H144</f>
        <v>253.46653897647468</v>
      </c>
      <c r="L146" s="9">
        <f>H57</f>
        <v>11.887257524152306</v>
      </c>
      <c r="M146" t="s">
        <v>169</v>
      </c>
      <c r="N146" s="9">
        <f>H77</f>
        <v>8.639657842610331</v>
      </c>
      <c r="O146" t="s">
        <v>176</v>
      </c>
      <c r="P146" s="14"/>
    </row>
    <row r="147" spans="1:15" ht="12.75">
      <c r="A147" s="13" t="s">
        <v>142</v>
      </c>
      <c r="B147" s="13" t="s">
        <v>208</v>
      </c>
      <c r="C147" s="4"/>
      <c r="D147" s="4">
        <f>D$59</f>
        <v>597</v>
      </c>
      <c r="E147" s="4">
        <f>454</f>
        <v>454</v>
      </c>
      <c r="F147" s="10">
        <f>1.25/2</f>
        <v>0.625</v>
      </c>
      <c r="G147" s="1">
        <f>E147*F147/1000</f>
        <v>0.28375</v>
      </c>
      <c r="H147" s="1">
        <f>G147*H$184/G$184</f>
        <v>2.9647266395288865</v>
      </c>
      <c r="I147" s="1">
        <f>H147</f>
        <v>2.9647266395288865</v>
      </c>
      <c r="L147" s="9">
        <f>H140</f>
        <v>10.471041624150496</v>
      </c>
      <c r="M147" t="s">
        <v>170</v>
      </c>
      <c r="N147" s="9">
        <f>H79</f>
        <v>2.708203444323718</v>
      </c>
      <c r="O147" t="s">
        <v>177</v>
      </c>
    </row>
    <row r="148" spans="1:15" ht="12.75">
      <c r="A148" s="6" t="s">
        <v>143</v>
      </c>
      <c r="B148" s="13" t="s">
        <v>208</v>
      </c>
      <c r="C148" s="4"/>
      <c r="D148" s="4">
        <f>D$59</f>
        <v>597</v>
      </c>
      <c r="E148" s="4">
        <f>454</f>
        <v>454</v>
      </c>
      <c r="F148" s="10">
        <f>1.25/2</f>
        <v>0.625</v>
      </c>
      <c r="G148" s="1">
        <f>E148*F148/1000</f>
        <v>0.28375</v>
      </c>
      <c r="H148" s="1">
        <f>G148*H$184/G$184</f>
        <v>2.9647266395288865</v>
      </c>
      <c r="I148" s="1">
        <f>H148</f>
        <v>2.9647266395288865</v>
      </c>
      <c r="L148" s="9">
        <f>H160</f>
        <v>2.800164720330367</v>
      </c>
      <c r="M148" t="s">
        <v>171</v>
      </c>
      <c r="N148" s="9">
        <f>H96</f>
        <v>1.0816456187597185</v>
      </c>
      <c r="O148" t="s">
        <v>178</v>
      </c>
    </row>
    <row r="149" spans="1:15" ht="12.75">
      <c r="A149" s="6" t="s">
        <v>145</v>
      </c>
      <c r="B149" s="13" t="s">
        <v>209</v>
      </c>
      <c r="C149" s="4"/>
      <c r="D149" s="4">
        <f>D$6</f>
        <v>600</v>
      </c>
      <c r="E149" s="4">
        <v>485</v>
      </c>
      <c r="F149" s="2">
        <v>4.2</v>
      </c>
      <c r="G149" s="1"/>
      <c r="H149" s="1"/>
      <c r="I149" s="1"/>
      <c r="L149" s="9">
        <f>SUM(H178:H182)</f>
        <v>19.41483407129359</v>
      </c>
      <c r="M149" t="s">
        <v>172</v>
      </c>
      <c r="N149" s="9">
        <f>H103</f>
        <v>2.8584887996712403</v>
      </c>
      <c r="O149" t="s">
        <v>275</v>
      </c>
    </row>
    <row r="150" spans="1:15" ht="12.75">
      <c r="A150" s="13" t="s">
        <v>144</v>
      </c>
      <c r="B150" s="13" t="s">
        <v>209</v>
      </c>
      <c r="C150" s="4"/>
      <c r="D150" s="4">
        <f>D$6</f>
        <v>600</v>
      </c>
      <c r="E150" s="4">
        <v>485</v>
      </c>
      <c r="F150" s="2">
        <f>F149/2</f>
        <v>2.1</v>
      </c>
      <c r="G150" s="1">
        <f>E150*F150/1000</f>
        <v>1.0185</v>
      </c>
      <c r="H150" s="1">
        <f>G150*H$184/G$184</f>
        <v>10.641670774837607</v>
      </c>
      <c r="I150" s="1">
        <f>H150</f>
        <v>10.641670774837607</v>
      </c>
      <c r="L150" s="9">
        <f>H162</f>
        <v>2.6316904648517836</v>
      </c>
      <c r="M150" t="s">
        <v>181</v>
      </c>
      <c r="N150" s="9">
        <f>H143</f>
        <v>7.21369705668107</v>
      </c>
      <c r="O150" t="s">
        <v>179</v>
      </c>
    </row>
    <row r="151" spans="1:16" ht="12.75">
      <c r="A151" s="1" t="s">
        <v>32</v>
      </c>
      <c r="B151" s="13" t="s">
        <v>210</v>
      </c>
      <c r="C151" s="4">
        <v>700</v>
      </c>
      <c r="D151" s="4">
        <v>1088</v>
      </c>
      <c r="E151" s="4"/>
      <c r="F151" s="10">
        <f>1-0.2</f>
        <v>0.8</v>
      </c>
      <c r="G151" s="1">
        <f>D151*F151/1000</f>
        <v>0.8704000000000001</v>
      </c>
      <c r="H151" s="1">
        <f>G151*H$184/G$184</f>
        <v>9.094266315580416</v>
      </c>
      <c r="I151" s="6" t="s">
        <v>147</v>
      </c>
      <c r="N151" s="9">
        <f>H154</f>
        <v>12.600455814001444</v>
      </c>
      <c r="O151" t="s">
        <v>276</v>
      </c>
      <c r="P151" s="14" t="s">
        <v>277</v>
      </c>
    </row>
    <row r="152" spans="1:16" ht="12.75">
      <c r="A152" s="6" t="s">
        <v>146</v>
      </c>
      <c r="B152" s="13" t="s">
        <v>210</v>
      </c>
      <c r="C152" s="4"/>
      <c r="D152" s="4"/>
      <c r="E152" s="4"/>
      <c r="F152" s="2"/>
      <c r="G152" s="1"/>
      <c r="H152" s="1"/>
      <c r="I152" s="1">
        <f>H41+H44+H151</f>
        <v>11.37335052025974</v>
      </c>
      <c r="L152" s="9">
        <f>SUM(L143:L150)</f>
        <v>65.2310403434439</v>
      </c>
      <c r="N152" s="9">
        <f>H161</f>
        <v>52.50308850619438</v>
      </c>
      <c r="O152" t="s">
        <v>171</v>
      </c>
      <c r="P152" s="14" t="s">
        <v>277</v>
      </c>
    </row>
    <row r="153" spans="1:15" ht="12.75">
      <c r="A153" s="1" t="s">
        <v>33</v>
      </c>
      <c r="B153" s="13" t="s">
        <v>210</v>
      </c>
      <c r="C153" s="4">
        <v>750</v>
      </c>
      <c r="D153" s="4">
        <v>1148</v>
      </c>
      <c r="E153" s="4"/>
      <c r="F153" s="2">
        <v>1</v>
      </c>
      <c r="G153" s="1">
        <f>D153*F153/1000</f>
        <v>1.148</v>
      </c>
      <c r="H153" s="1">
        <f aca="true" t="shared" si="14" ref="H153:H158">G153*H$184/G$184</f>
        <v>11.994735443803213</v>
      </c>
      <c r="I153" s="1">
        <f>H153</f>
        <v>11.994735443803213</v>
      </c>
      <c r="N153" s="9">
        <f>H174</f>
        <v>14.889496022321872</v>
      </c>
      <c r="O153" t="s">
        <v>180</v>
      </c>
    </row>
    <row r="154" spans="1:16" ht="12.75">
      <c r="A154" s="5" t="s">
        <v>34</v>
      </c>
      <c r="B154" s="5" t="s">
        <v>208</v>
      </c>
      <c r="C154" s="4"/>
      <c r="D154" s="4">
        <f>D$159</f>
        <v>670</v>
      </c>
      <c r="E154" s="4">
        <f>850*591/604</f>
        <v>831.705298013245</v>
      </c>
      <c r="F154" s="16">
        <f>1.75-0.3</f>
        <v>1.45</v>
      </c>
      <c r="G154" s="1">
        <f>E154*F154/1000</f>
        <v>1.2059726821192052</v>
      </c>
      <c r="H154" s="1">
        <f t="shared" si="14"/>
        <v>12.600455814001444</v>
      </c>
      <c r="I154" s="6" t="s">
        <v>62</v>
      </c>
      <c r="L154" t="s">
        <v>195</v>
      </c>
      <c r="N154" s="9">
        <f>SUM(N143:N153)</f>
        <v>107.26402573579765</v>
      </c>
      <c r="P154" s="9">
        <f>SUM(N143:N145,N151,N152)</f>
        <v>69.87283695142969</v>
      </c>
    </row>
    <row r="155" spans="1:15" ht="12.75">
      <c r="A155" s="13" t="s">
        <v>96</v>
      </c>
      <c r="B155" s="13" t="s">
        <v>208</v>
      </c>
      <c r="C155" s="4"/>
      <c r="D155" s="4">
        <f>D$59</f>
        <v>597</v>
      </c>
      <c r="E155" s="4">
        <v>497</v>
      </c>
      <c r="F155" s="2">
        <f>2.25-F156-F106</f>
        <v>1.8034442934782609</v>
      </c>
      <c r="G155" s="1">
        <f>E155*F155/1000</f>
        <v>0.8963118138586956</v>
      </c>
      <c r="H155" s="1">
        <f t="shared" si="14"/>
        <v>9.365002685009099</v>
      </c>
      <c r="I155" s="13">
        <f>H155+H157+H21</f>
        <v>13.882646787077725</v>
      </c>
      <c r="L155" s="9">
        <f>H40</f>
        <v>39.12916745387024</v>
      </c>
      <c r="M155" t="s">
        <v>185</v>
      </c>
      <c r="N155" s="9">
        <v>0.8</v>
      </c>
      <c r="O155" t="s">
        <v>214</v>
      </c>
    </row>
    <row r="156" spans="1:14" ht="12.75">
      <c r="A156" s="13" t="s">
        <v>217</v>
      </c>
      <c r="B156" s="13" t="s">
        <v>208</v>
      </c>
      <c r="C156" s="4"/>
      <c r="D156" s="4">
        <f>D$59</f>
        <v>597</v>
      </c>
      <c r="E156" s="4">
        <v>497</v>
      </c>
      <c r="F156" s="2">
        <f>2.25*(2.015/9.2)*0.75</f>
        <v>0.3695991847826088</v>
      </c>
      <c r="G156" s="1">
        <f>E156*F156/1000</f>
        <v>0.18369079483695658</v>
      </c>
      <c r="H156" s="1">
        <f t="shared" si="14"/>
        <v>1.919270459521975</v>
      </c>
      <c r="I156" s="6">
        <f>H156</f>
        <v>1.919270459521975</v>
      </c>
      <c r="L156" s="9">
        <f>H104</f>
        <v>2.977787109306547</v>
      </c>
      <c r="M156" t="s">
        <v>186</v>
      </c>
      <c r="N156" s="9"/>
    </row>
    <row r="157" spans="1:14" ht="12.75">
      <c r="A157" s="13" t="s">
        <v>253</v>
      </c>
      <c r="B157" s="13" t="s">
        <v>208</v>
      </c>
      <c r="C157" s="4"/>
      <c r="D157" s="4"/>
      <c r="E157" s="4">
        <f>AVERAGE(E18,E155)</f>
        <v>544.9162303664921</v>
      </c>
      <c r="F157" s="2">
        <f>1.87/14.66*F18</f>
        <v>0.45920873124147343</v>
      </c>
      <c r="G157" s="1">
        <f>E157*F157/1000</f>
        <v>0.2502302907794833</v>
      </c>
      <c r="H157" s="1">
        <f t="shared" si="14"/>
        <v>2.614500120144471</v>
      </c>
      <c r="I157" s="13" t="s">
        <v>254</v>
      </c>
      <c r="N157" s="9"/>
    </row>
    <row r="158" spans="1:14" ht="12.75">
      <c r="A158" s="1" t="s">
        <v>35</v>
      </c>
      <c r="B158" s="13" t="s">
        <v>209</v>
      </c>
      <c r="C158" s="4"/>
      <c r="D158" s="4">
        <f>D$6</f>
        <v>600</v>
      </c>
      <c r="E158" s="4">
        <v>519</v>
      </c>
      <c r="F158" s="2">
        <v>1</v>
      </c>
      <c r="G158" s="1">
        <f>E158*F158/1000</f>
        <v>0.519</v>
      </c>
      <c r="H158" s="1">
        <f t="shared" si="14"/>
        <v>5.422707051684554</v>
      </c>
      <c r="I158" s="6" t="s">
        <v>62</v>
      </c>
      <c r="L158" s="9">
        <f>H158</f>
        <v>5.422707051684554</v>
      </c>
      <c r="M158" t="s">
        <v>187</v>
      </c>
      <c r="N158" s="9"/>
    </row>
    <row r="159" spans="1:14" ht="12.75">
      <c r="A159" s="1" t="s">
        <v>36</v>
      </c>
      <c r="B159" s="13" t="s">
        <v>208</v>
      </c>
      <c r="C159" s="4">
        <v>600</v>
      </c>
      <c r="D159" s="4">
        <v>670</v>
      </c>
      <c r="E159" s="4"/>
      <c r="F159" s="2">
        <v>7.9</v>
      </c>
      <c r="G159" s="1"/>
      <c r="H159" s="1"/>
      <c r="L159" s="9">
        <f>H6</f>
        <v>18.007775729438013</v>
      </c>
      <c r="M159" t="s">
        <v>188</v>
      </c>
      <c r="N159" s="9"/>
    </row>
    <row r="160" spans="1:14" ht="12.75">
      <c r="A160" s="5" t="s">
        <v>59</v>
      </c>
      <c r="B160" s="5" t="s">
        <v>210</v>
      </c>
      <c r="C160" s="4"/>
      <c r="D160" s="4"/>
      <c r="E160" s="4"/>
      <c r="F160" s="2">
        <v>0.4</v>
      </c>
      <c r="G160" s="1">
        <f>D$159*F160/1000</f>
        <v>0.268</v>
      </c>
      <c r="H160" s="1">
        <f>G160*H$184/G$184</f>
        <v>2.800164720330367</v>
      </c>
      <c r="I160" s="6" t="s">
        <v>62</v>
      </c>
      <c r="L160" s="9">
        <f>H43</f>
        <v>1.3729165830276502</v>
      </c>
      <c r="M160" t="s">
        <v>196</v>
      </c>
      <c r="N160" s="9"/>
    </row>
    <row r="161" spans="1:14" ht="12.75">
      <c r="A161" s="5" t="s">
        <v>60</v>
      </c>
      <c r="B161" s="5" t="s">
        <v>208</v>
      </c>
      <c r="C161" s="4"/>
      <c r="D161" s="4"/>
      <c r="E161" s="4"/>
      <c r="F161" s="2">
        <v>7.5</v>
      </c>
      <c r="G161" s="1">
        <f>D$159*F161/1000</f>
        <v>5.025</v>
      </c>
      <c r="H161" s="1">
        <f>G161*H$184/G$184</f>
        <v>52.50308850619438</v>
      </c>
      <c r="I161" s="6" t="s">
        <v>62</v>
      </c>
      <c r="L161" s="9">
        <f>SUM(L155:L160)</f>
        <v>66.910353927327</v>
      </c>
      <c r="N161" s="9">
        <f>SUM(L152,N154,L161,N155)</f>
        <v>240.20542000656854</v>
      </c>
    </row>
    <row r="162" spans="1:9" ht="12.75">
      <c r="A162" s="6" t="s">
        <v>149</v>
      </c>
      <c r="B162" s="13" t="s">
        <v>210</v>
      </c>
      <c r="C162" s="4"/>
      <c r="D162" s="4">
        <f>D$159</f>
        <v>670</v>
      </c>
      <c r="E162" s="4">
        <f>616*552/675</f>
        <v>503.75111111111113</v>
      </c>
      <c r="F162" s="2">
        <v>0.5</v>
      </c>
      <c r="G162" s="1">
        <f>E162*F162/1000</f>
        <v>0.2518755555555556</v>
      </c>
      <c r="H162" s="1">
        <f>G162*H$184/G$184</f>
        <v>2.6316904648517836</v>
      </c>
      <c r="I162" s="6" t="s">
        <v>62</v>
      </c>
    </row>
    <row r="163" spans="1:9" ht="12.75">
      <c r="A163" s="1" t="s">
        <v>37</v>
      </c>
      <c r="B163" s="13" t="s">
        <v>210</v>
      </c>
      <c r="C163" s="4">
        <v>974</v>
      </c>
      <c r="D163" s="4">
        <v>1287</v>
      </c>
      <c r="E163" s="4"/>
      <c r="F163" s="2">
        <v>6.17</v>
      </c>
      <c r="G163" s="1"/>
      <c r="H163" s="1"/>
      <c r="I163" s="1"/>
    </row>
    <row r="164" spans="1:9" ht="12.75">
      <c r="A164" s="6" t="s">
        <v>95</v>
      </c>
      <c r="B164" s="13" t="s">
        <v>210</v>
      </c>
      <c r="C164" s="4"/>
      <c r="D164" s="4"/>
      <c r="E164" s="4"/>
      <c r="F164" s="2">
        <v>4.3</v>
      </c>
      <c r="G164" s="1">
        <f>D163*F164/1000</f>
        <v>5.5341</v>
      </c>
      <c r="H164" s="1">
        <f>G164*H$184/G$184</f>
        <v>57.82235663723986</v>
      </c>
      <c r="I164" s="1">
        <f>H164</f>
        <v>57.82235663723986</v>
      </c>
    </row>
    <row r="165" spans="1:9" ht="12.75">
      <c r="A165" s="5" t="s">
        <v>54</v>
      </c>
      <c r="B165" s="5" t="s">
        <v>210</v>
      </c>
      <c r="C165" s="4"/>
      <c r="D165" s="4"/>
      <c r="E165" s="4"/>
      <c r="F165" s="2">
        <v>0.75</v>
      </c>
      <c r="G165" s="1">
        <f>D163*F165/1000</f>
        <v>0.96525</v>
      </c>
      <c r="H165" s="1">
        <f>G165*H$184/G$184</f>
        <v>10.085294762309278</v>
      </c>
      <c r="I165" s="1">
        <f>H165</f>
        <v>10.085294762309278</v>
      </c>
    </row>
    <row r="166" spans="1:9" ht="12.75">
      <c r="A166" s="13" t="s">
        <v>160</v>
      </c>
      <c r="B166" s="13" t="s">
        <v>211</v>
      </c>
      <c r="C166" s="4"/>
      <c r="D166" s="4">
        <f>D$16</f>
        <v>585.1668908500377</v>
      </c>
      <c r="E166" s="4">
        <f>442*438/663</f>
        <v>292</v>
      </c>
      <c r="F166" s="2">
        <v>0.4</v>
      </c>
      <c r="G166" s="1">
        <f>E166*F166/1000</f>
        <v>0.11680000000000001</v>
      </c>
      <c r="H166" s="1">
        <f>G166*H$184/G$184</f>
        <v>1.220370296024578</v>
      </c>
      <c r="I166" s="6" t="s">
        <v>72</v>
      </c>
    </row>
    <row r="167" spans="1:9" ht="12.75">
      <c r="A167" s="13" t="s">
        <v>257</v>
      </c>
      <c r="B167" s="13" t="s">
        <v>208</v>
      </c>
      <c r="C167" s="4"/>
      <c r="D167" s="4"/>
      <c r="E167" s="4"/>
      <c r="F167" s="2">
        <v>2</v>
      </c>
      <c r="G167" s="1"/>
      <c r="H167" s="1"/>
      <c r="I167" s="6"/>
    </row>
    <row r="168" spans="1:9" ht="12.75">
      <c r="A168" s="13" t="s">
        <v>150</v>
      </c>
      <c r="B168" s="13" t="s">
        <v>208</v>
      </c>
      <c r="C168" s="4"/>
      <c r="D168" s="4">
        <f>D$59</f>
        <v>597</v>
      </c>
      <c r="E168" s="4">
        <v>460</v>
      </c>
      <c r="F168" s="2">
        <v>1.5</v>
      </c>
      <c r="G168" s="1"/>
      <c r="H168" s="1"/>
      <c r="I168" s="1">
        <f>H170+H171</f>
        <v>6.550171008100295</v>
      </c>
    </row>
    <row r="169" spans="1:9" ht="12.75">
      <c r="A169" s="13" t="s">
        <v>259</v>
      </c>
      <c r="B169" s="13" t="s">
        <v>208</v>
      </c>
      <c r="C169" s="4"/>
      <c r="D169" s="4"/>
      <c r="E169" s="4"/>
      <c r="F169" s="2">
        <f>0.84/47.1*F167</f>
        <v>0.035668789808917196</v>
      </c>
      <c r="G169" s="1">
        <f>E168*F169/1000</f>
        <v>0.01640764331210191</v>
      </c>
      <c r="H169" s="1">
        <f aca="true" t="shared" si="15" ref="H169:H174">G169*H$184/G$184</f>
        <v>0.17143322368026964</v>
      </c>
      <c r="I169" s="1">
        <f>H169</f>
        <v>0.17143322368026964</v>
      </c>
    </row>
    <row r="170" spans="1:9" ht="12.75">
      <c r="A170" s="13" t="s">
        <v>256</v>
      </c>
      <c r="B170" s="13" t="s">
        <v>208</v>
      </c>
      <c r="C170" s="4"/>
      <c r="D170" s="4"/>
      <c r="E170" s="4"/>
      <c r="F170" s="2">
        <f>22.6/47.1*F167</f>
        <v>0.9596602972399151</v>
      </c>
      <c r="G170" s="1">
        <f>E168*F170/1000</f>
        <v>0.4414437367303609</v>
      </c>
      <c r="H170" s="1">
        <f t="shared" si="15"/>
        <v>4.612370065683445</v>
      </c>
      <c r="I170" s="1"/>
    </row>
    <row r="171" spans="1:9" ht="12.75">
      <c r="A171" s="13" t="s">
        <v>255</v>
      </c>
      <c r="B171" s="13" t="s">
        <v>208</v>
      </c>
      <c r="C171" s="4"/>
      <c r="D171" s="4"/>
      <c r="E171" s="4"/>
      <c r="F171" s="2">
        <f>F168-F169-F170-F172</f>
        <v>0.4031833096453826</v>
      </c>
      <c r="G171" s="1">
        <f>E168*F171/1000</f>
        <v>0.18546432243687602</v>
      </c>
      <c r="H171" s="1">
        <f t="shared" si="15"/>
        <v>1.9378009424168505</v>
      </c>
      <c r="I171" s="1"/>
    </row>
    <row r="172" spans="1:9" ht="12.75">
      <c r="A172" s="13" t="s">
        <v>258</v>
      </c>
      <c r="B172" s="13" t="s">
        <v>208</v>
      </c>
      <c r="C172" s="4"/>
      <c r="D172" s="4"/>
      <c r="E172" s="4"/>
      <c r="F172" s="2">
        <f>3.07/60.5*2</f>
        <v>0.10148760330578512</v>
      </c>
      <c r="G172" s="1">
        <f>E168*F172/1000</f>
        <v>0.04668429752066115</v>
      </c>
      <c r="H172" s="1">
        <f t="shared" si="15"/>
        <v>0.4877750854879171</v>
      </c>
      <c r="I172" s="1">
        <f>H172</f>
        <v>0.4877750854879171</v>
      </c>
    </row>
    <row r="173" spans="1:9" ht="12.75">
      <c r="A173" s="13" t="s">
        <v>260</v>
      </c>
      <c r="B173" s="13" t="s">
        <v>208</v>
      </c>
      <c r="C173" s="4"/>
      <c r="D173" s="4"/>
      <c r="E173" s="4"/>
      <c r="F173" s="2">
        <f>2.97/13.59*2</f>
        <v>0.4370860927152318</v>
      </c>
      <c r="G173" s="1">
        <f>E168*F173/1000</f>
        <v>0.20105960264900663</v>
      </c>
      <c r="H173" s="1">
        <f t="shared" si="15"/>
        <v>2.1007462911245907</v>
      </c>
      <c r="I173" s="13" t="s">
        <v>263</v>
      </c>
    </row>
    <row r="174" spans="1:9" ht="12.75">
      <c r="A174" s="1" t="s">
        <v>38</v>
      </c>
      <c r="B174" s="13" t="s">
        <v>208</v>
      </c>
      <c r="C174" s="4"/>
      <c r="D174" s="4">
        <f>D$6</f>
        <v>600</v>
      </c>
      <c r="E174" s="4">
        <f>662*591/604</f>
        <v>647.7516556291391</v>
      </c>
      <c r="F174" s="2">
        <f>2.5-0.3</f>
        <v>2.2</v>
      </c>
      <c r="G174" s="1">
        <f>E174*F174/1000</f>
        <v>1.4250536423841063</v>
      </c>
      <c r="H174" s="1">
        <f t="shared" si="15"/>
        <v>14.889496022321872</v>
      </c>
      <c r="I174" s="6" t="s">
        <v>62</v>
      </c>
    </row>
    <row r="175" spans="1:9" ht="12.75">
      <c r="A175" s="6" t="s">
        <v>52</v>
      </c>
      <c r="B175" s="13" t="s">
        <v>210</v>
      </c>
      <c r="C175" s="4">
        <v>548</v>
      </c>
      <c r="D175" s="4">
        <f>C175*41074/30481</f>
        <v>738.4453265968964</v>
      </c>
      <c r="E175" s="4"/>
      <c r="F175" s="2">
        <v>2.75</v>
      </c>
      <c r="G175" s="1"/>
      <c r="H175" s="1"/>
      <c r="I175" s="1"/>
    </row>
    <row r="176" spans="1:9" ht="12.75">
      <c r="A176" s="13" t="s">
        <v>264</v>
      </c>
      <c r="B176" s="13" t="s">
        <v>210</v>
      </c>
      <c r="C176" s="4"/>
      <c r="D176" s="4"/>
      <c r="E176" s="4">
        <f>1358</f>
        <v>1358</v>
      </c>
      <c r="F176" s="2">
        <f>1.1*2.75/6</f>
        <v>0.5041666666666668</v>
      </c>
      <c r="G176" s="1">
        <f aca="true" t="shared" si="16" ref="G176:G182">E176*F176/1000</f>
        <v>0.6846583333333334</v>
      </c>
      <c r="H176" s="1">
        <f>G176*H$184/G$184</f>
        <v>7.153567576418615</v>
      </c>
      <c r="I176" s="13" t="s">
        <v>68</v>
      </c>
    </row>
    <row r="177" spans="1:9" ht="12.75">
      <c r="A177" s="13" t="s">
        <v>269</v>
      </c>
      <c r="B177" s="13" t="s">
        <v>210</v>
      </c>
      <c r="C177" s="4"/>
      <c r="D177" s="4"/>
      <c r="E177" s="4">
        <f>1227</f>
        <v>1227</v>
      </c>
      <c r="F177" s="2">
        <f>2.18*2.75/6/2</f>
        <v>0.4995833333333333</v>
      </c>
      <c r="G177" s="1">
        <f t="shared" si="16"/>
        <v>0.61298875</v>
      </c>
      <c r="H177" s="1">
        <f aca="true" t="shared" si="17" ref="H177:H182">G177*H$184/G$184</f>
        <v>6.4047368347366085</v>
      </c>
      <c r="I177" s="13" t="s">
        <v>68</v>
      </c>
    </row>
    <row r="178" spans="1:9" ht="12.75">
      <c r="A178" s="13" t="s">
        <v>270</v>
      </c>
      <c r="B178" s="13" t="s">
        <v>210</v>
      </c>
      <c r="C178" s="4"/>
      <c r="D178" s="4"/>
      <c r="E178" s="4">
        <f>1227</f>
        <v>1227</v>
      </c>
      <c r="F178" s="2">
        <f>2.18*2.75/6/2</f>
        <v>0.4995833333333333</v>
      </c>
      <c r="G178" s="1">
        <f t="shared" si="16"/>
        <v>0.61298875</v>
      </c>
      <c r="H178" s="1">
        <f>G178*H$184/G$184</f>
        <v>6.4047368347366085</v>
      </c>
      <c r="I178" s="1" t="s">
        <v>82</v>
      </c>
    </row>
    <row r="179" spans="1:9" ht="12.75">
      <c r="A179" s="13" t="s">
        <v>265</v>
      </c>
      <c r="B179" s="13" t="s">
        <v>210</v>
      </c>
      <c r="C179" s="4"/>
      <c r="D179" s="4"/>
      <c r="E179" s="4">
        <f>491</f>
        <v>491</v>
      </c>
      <c r="F179" s="2">
        <f>1.05*2.25/7.25</f>
        <v>0.3258620689655173</v>
      </c>
      <c r="G179" s="1">
        <f t="shared" si="16"/>
        <v>0.159998275862069</v>
      </c>
      <c r="H179" s="1">
        <f t="shared" si="17"/>
        <v>1.6717221170994452</v>
      </c>
      <c r="I179" s="1" t="s">
        <v>82</v>
      </c>
    </row>
    <row r="180" spans="1:9" ht="12.75">
      <c r="A180" s="13" t="s">
        <v>266</v>
      </c>
      <c r="B180" s="13" t="s">
        <v>210</v>
      </c>
      <c r="C180" s="4"/>
      <c r="D180" s="4"/>
      <c r="E180" s="4">
        <f>1309</f>
        <v>1309</v>
      </c>
      <c r="F180" s="16">
        <f>1.17*2.75/6+0.11</f>
        <v>0.64625</v>
      </c>
      <c r="G180" s="1">
        <f t="shared" si="16"/>
        <v>0.84594125</v>
      </c>
      <c r="H180" s="1">
        <f t="shared" si="17"/>
        <v>8.838712103440937</v>
      </c>
      <c r="I180" s="1" t="s">
        <v>82</v>
      </c>
    </row>
    <row r="181" spans="1:9" ht="12.75">
      <c r="A181" s="13" t="s">
        <v>268</v>
      </c>
      <c r="B181" s="13" t="s">
        <v>210</v>
      </c>
      <c r="C181" s="4"/>
      <c r="D181" s="4"/>
      <c r="E181" s="4">
        <v>1112</v>
      </c>
      <c r="F181" s="16">
        <f>0.11*2.75/6</f>
        <v>0.050416666666666665</v>
      </c>
      <c r="G181" s="1">
        <f t="shared" si="16"/>
        <v>0.05606333333333333</v>
      </c>
      <c r="H181" s="1">
        <f t="shared" si="17"/>
        <v>0.585770776507916</v>
      </c>
      <c r="I181" s="1" t="s">
        <v>82</v>
      </c>
    </row>
    <row r="182" spans="1:9" ht="12.75">
      <c r="A182" s="13" t="s">
        <v>267</v>
      </c>
      <c r="B182" s="13" t="s">
        <v>210</v>
      </c>
      <c r="C182" s="4"/>
      <c r="D182" s="4"/>
      <c r="E182" s="4">
        <f>801</f>
        <v>801</v>
      </c>
      <c r="F182" s="2">
        <f>0.79*2.75/9.5</f>
        <v>0.22868421052631582</v>
      </c>
      <c r="G182" s="1">
        <f t="shared" si="16"/>
        <v>0.183176052631579</v>
      </c>
      <c r="H182" s="1">
        <f t="shared" si="17"/>
        <v>1.9138922395086788</v>
      </c>
      <c r="I182" s="1" t="s">
        <v>82</v>
      </c>
    </row>
    <row r="183" spans="1:9" ht="12.75">
      <c r="A183" s="1"/>
      <c r="B183" s="1"/>
      <c r="C183" s="4"/>
      <c r="D183" s="4"/>
      <c r="E183" s="4"/>
      <c r="F183" s="3"/>
      <c r="G183" s="1"/>
      <c r="H183" s="1">
        <f>SUM(H3:H182)</f>
        <v>4000.0000000000014</v>
      </c>
      <c r="I183" s="1">
        <f>SUM(I3:I175)</f>
        <v>4000.0000000000005</v>
      </c>
    </row>
    <row r="184" spans="1:9" ht="12.75">
      <c r="A184" s="1" t="s">
        <v>39</v>
      </c>
      <c r="B184" s="1"/>
      <c r="C184" s="4"/>
      <c r="D184" s="4"/>
      <c r="E184" s="4"/>
      <c r="F184" s="3"/>
      <c r="G184" s="2">
        <f>SUM(G3:G182)</f>
        <v>382.8346211981144</v>
      </c>
      <c r="H184" s="4">
        <v>4000</v>
      </c>
      <c r="I184" s="4">
        <v>4000</v>
      </c>
    </row>
    <row r="185" spans="1:9" ht="12.75">
      <c r="A185" s="1"/>
      <c r="B185" s="1"/>
      <c r="C185" s="1"/>
      <c r="D185" s="1"/>
      <c r="E185" s="1"/>
      <c r="F185" s="3"/>
      <c r="G185" s="1"/>
      <c r="H185" s="1"/>
      <c r="I185" s="1"/>
    </row>
    <row r="186" spans="1:9" ht="12.75">
      <c r="A186" s="1" t="s">
        <v>40</v>
      </c>
      <c r="B186" s="1"/>
      <c r="C186" s="1"/>
      <c r="D186" s="1"/>
      <c r="E186" s="1"/>
      <c r="F186" s="3"/>
      <c r="G186" s="4">
        <f>G184/H184*1000</f>
        <v>95.7086552995286</v>
      </c>
      <c r="H186" s="4"/>
      <c r="I186" s="4"/>
    </row>
    <row r="187" ht="12.75">
      <c r="F187" s="11" t="s">
        <v>94</v>
      </c>
    </row>
    <row r="188" ht="12.75">
      <c r="F188" t="s">
        <v>126</v>
      </c>
    </row>
    <row r="189" ht="12.75">
      <c r="F189" s="11" t="s">
        <v>273</v>
      </c>
    </row>
    <row r="190" spans="1:8" ht="12.75">
      <c r="A190" t="s">
        <v>50</v>
      </c>
      <c r="B190" t="s">
        <v>210</v>
      </c>
      <c r="F190" s="3">
        <f>0.187/12.5*100</f>
        <v>1.496</v>
      </c>
      <c r="H190" s="9">
        <f>H144*F190/100</f>
        <v>1.8773336584626008</v>
      </c>
    </row>
    <row r="191" spans="1:8" ht="12.75">
      <c r="A191" s="13" t="s">
        <v>299</v>
      </c>
      <c r="B191" s="13" t="s">
        <v>208</v>
      </c>
      <c r="C191" s="4"/>
      <c r="D191" s="4"/>
      <c r="E191" s="15">
        <f>E26</f>
        <v>788.9147115094149</v>
      </c>
      <c r="F191" s="2">
        <f>2.5/409.9*F26</f>
        <v>0.9148572822639669</v>
      </c>
      <c r="G191" s="1">
        <f>E191*F191/1000</f>
        <v>0.7217443689095648</v>
      </c>
      <c r="H191" s="1">
        <f>G191*H$184/G$184</f>
        <v>7.541056413871899</v>
      </c>
    </row>
    <row r="192" spans="5:6" ht="12.75">
      <c r="E192" t="s">
        <v>304</v>
      </c>
      <c r="F192" s="14" t="s">
        <v>306</v>
      </c>
    </row>
    <row r="193" spans="1:6" ht="12.75">
      <c r="A193" s="1" t="s">
        <v>41</v>
      </c>
      <c r="B193" t="s">
        <v>208</v>
      </c>
      <c r="E193">
        <v>0.36</v>
      </c>
      <c r="F193" s="43">
        <f>0.016/26.065*22</f>
        <v>0.013504699788989065</v>
      </c>
    </row>
    <row r="194" spans="1:9" ht="12.75">
      <c r="A194" s="1" t="s">
        <v>42</v>
      </c>
      <c r="B194" t="s">
        <v>208</v>
      </c>
      <c r="E194" s="2">
        <v>0.103</v>
      </c>
      <c r="F194" s="43">
        <f>0.096/26.065*E199</f>
        <v>0.11807281795511222</v>
      </c>
      <c r="H194" s="9">
        <f>H$94*F194/E$199</f>
        <v>0.7059301869859781</v>
      </c>
      <c r="I194">
        <v>1</v>
      </c>
    </row>
    <row r="195" spans="1:9" ht="12.75">
      <c r="A195" s="1" t="s">
        <v>43</v>
      </c>
      <c r="B195" t="s">
        <v>208</v>
      </c>
      <c r="E195" s="2">
        <v>0.165</v>
      </c>
      <c r="F195" s="43">
        <f>0.105/26.065*E199</f>
        <v>0.12914214463840398</v>
      </c>
      <c r="H195" s="9">
        <f>H$94*F195/E$199</f>
        <v>0.7721111420159135</v>
      </c>
      <c r="I195">
        <v>1</v>
      </c>
    </row>
    <row r="196" spans="1:9" ht="12.75">
      <c r="A196" s="13" t="s">
        <v>44</v>
      </c>
      <c r="B196" t="s">
        <v>208</v>
      </c>
      <c r="E196" s="2">
        <v>2.96</v>
      </c>
      <c r="F196" s="43"/>
      <c r="H196" s="9">
        <f>H$94*E196/E$199</f>
        <v>17.697158327100155</v>
      </c>
      <c r="I196">
        <v>18</v>
      </c>
    </row>
    <row r="197" spans="1:9" ht="12.75">
      <c r="A197" s="13" t="s">
        <v>45</v>
      </c>
      <c r="B197" t="s">
        <v>208</v>
      </c>
      <c r="E197" s="2">
        <v>4.56</v>
      </c>
      <c r="F197" s="43"/>
      <c r="H197" s="9">
        <f>H$94*E197/E$199</f>
        <v>27.2631898552624</v>
      </c>
      <c r="I197">
        <v>27</v>
      </c>
    </row>
    <row r="198" spans="1:9" ht="12.75">
      <c r="A198" s="6" t="s">
        <v>58</v>
      </c>
      <c r="B198" t="s">
        <v>208</v>
      </c>
      <c r="E198" s="16">
        <v>24.27</v>
      </c>
      <c r="F198" s="43"/>
      <c r="H198" s="9">
        <f>H$94*E198/E$199</f>
        <v>145.10474074281106</v>
      </c>
      <c r="I198">
        <v>145</v>
      </c>
    </row>
    <row r="199" spans="1:9" ht="12.75">
      <c r="A199" s="13" t="s">
        <v>308</v>
      </c>
      <c r="B199" t="s">
        <v>208</v>
      </c>
      <c r="E199" s="43">
        <f>SUM(E194:E198)</f>
        <v>32.058</v>
      </c>
      <c r="F199" s="43"/>
      <c r="H199" s="9">
        <f>SUM(H194:H198)</f>
        <v>191.5431302541755</v>
      </c>
      <c r="I199" s="9">
        <f>SUM(I194:I198)</f>
        <v>192</v>
      </c>
    </row>
  </sheetData>
  <sheetProtection/>
  <autoFilter ref="B1:B191"/>
  <hyperlinks>
    <hyperlink ref="F187" r:id="rId1" display="https://en.wikipedia.org/wiki/List_of_countries_by_population_in_1600"/>
    <hyperlink ref="F189" r:id="rId2" display="http://www.tacitus.nu/historical-atlas/"/>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dimension ref="A3:E184"/>
  <sheetViews>
    <sheetView zoomScalePageLayoutView="0" workbookViewId="0" topLeftCell="A19">
      <selection activeCell="E9" sqref="E9"/>
    </sheetView>
  </sheetViews>
  <sheetFormatPr defaultColWidth="9.140625" defaultRowHeight="12.75"/>
  <cols>
    <col min="1" max="1" width="10.57421875" style="0" bestFit="1" customWidth="1"/>
    <col min="2" max="2" width="36.00390625" style="0" bestFit="1" customWidth="1"/>
    <col min="3" max="3" width="11.8515625" style="9" bestFit="1" customWidth="1"/>
    <col min="4" max="4" width="14.00390625" style="9" customWidth="1"/>
    <col min="5" max="5" width="17.421875" style="9" bestFit="1" customWidth="1"/>
    <col min="6" max="113" width="13.57421875" style="0" bestFit="1" customWidth="1"/>
    <col min="114" max="114" width="10.57421875" style="0" bestFit="1" customWidth="1"/>
  </cols>
  <sheetData>
    <row r="3" spans="1:5" ht="12.75">
      <c r="A3" s="19"/>
      <c r="B3" s="20"/>
      <c r="C3" s="27" t="s">
        <v>283</v>
      </c>
      <c r="D3" s="35"/>
      <c r="E3" s="31"/>
    </row>
    <row r="4" spans="1:5" ht="12.75">
      <c r="A4" s="22" t="s">
        <v>207</v>
      </c>
      <c r="B4" s="22" t="s">
        <v>0</v>
      </c>
      <c r="C4" s="28" t="s">
        <v>284</v>
      </c>
      <c r="D4" s="36" t="s">
        <v>292</v>
      </c>
      <c r="E4" s="26" t="s">
        <v>293</v>
      </c>
    </row>
    <row r="5" spans="1:5" ht="12.75">
      <c r="A5" s="19" t="s">
        <v>209</v>
      </c>
      <c r="B5" s="19" t="s">
        <v>193</v>
      </c>
      <c r="C5" s="28">
        <v>0.225</v>
      </c>
      <c r="D5" s="36">
        <v>1.3744721170326453</v>
      </c>
      <c r="E5" s="32">
        <v>0</v>
      </c>
    </row>
    <row r="6" spans="1:5" ht="12.75">
      <c r="A6" s="21"/>
      <c r="B6" s="23" t="s">
        <v>144</v>
      </c>
      <c r="C6" s="29">
        <v>2.1</v>
      </c>
      <c r="D6" s="9">
        <v>10.65372793910007</v>
      </c>
      <c r="E6" s="33">
        <v>10.65372793910007</v>
      </c>
    </row>
    <row r="7" spans="1:5" ht="12.75">
      <c r="A7" s="21"/>
      <c r="B7" s="23" t="s">
        <v>189</v>
      </c>
      <c r="C7" s="29">
        <v>0.4408018867924528</v>
      </c>
      <c r="D7" s="9">
        <v>2.2962192653024376</v>
      </c>
      <c r="E7" s="33">
        <v>2.2962192653024376</v>
      </c>
    </row>
    <row r="8" spans="1:5" ht="12.75">
      <c r="A8" s="21"/>
      <c r="B8" s="23" t="s">
        <v>212</v>
      </c>
      <c r="C8" s="29">
        <v>0.0997826086956522</v>
      </c>
      <c r="D8" s="9">
        <v>0.3757490778546661</v>
      </c>
      <c r="E8" s="33">
        <v>0.3757490778546661</v>
      </c>
    </row>
    <row r="9" spans="1:5" ht="12.75">
      <c r="A9" s="21"/>
      <c r="B9" s="23" t="s">
        <v>3</v>
      </c>
      <c r="C9" s="29">
        <v>2.25</v>
      </c>
      <c r="D9" s="9">
        <v>18.02817879532545</v>
      </c>
      <c r="E9" s="33">
        <v>0</v>
      </c>
    </row>
    <row r="10" spans="1:5" ht="12.75">
      <c r="A10" s="21"/>
      <c r="B10" s="23" t="s">
        <v>204</v>
      </c>
      <c r="C10" s="29">
        <v>0.49</v>
      </c>
      <c r="D10" s="9">
        <v>1.8451817461534141</v>
      </c>
      <c r="E10" s="33">
        <v>1.8451817461534141</v>
      </c>
    </row>
    <row r="11" spans="1:5" ht="12.75">
      <c r="A11" s="21"/>
      <c r="B11" s="23" t="s">
        <v>199</v>
      </c>
      <c r="C11" s="29">
        <v>0.43759534323564836</v>
      </c>
      <c r="D11" s="9">
        <v>2.6365483740086733</v>
      </c>
      <c r="E11" s="33"/>
    </row>
    <row r="12" spans="1:5" ht="12.75">
      <c r="A12" s="21"/>
      <c r="B12" s="23" t="s">
        <v>197</v>
      </c>
      <c r="C12" s="29">
        <v>0.44245283018867926</v>
      </c>
      <c r="D12" s="9">
        <v>1.8558886632937923</v>
      </c>
      <c r="E12" s="33">
        <v>4.492437037302466</v>
      </c>
    </row>
    <row r="13" spans="1:5" ht="12.75">
      <c r="A13" s="21"/>
      <c r="B13" s="23" t="s">
        <v>203</v>
      </c>
      <c r="C13" s="29">
        <v>0.22666666666666668</v>
      </c>
      <c r="D13" s="9">
        <v>0.9341668432150846</v>
      </c>
      <c r="E13" s="33">
        <v>0.9341668432150846</v>
      </c>
    </row>
    <row r="14" spans="1:5" ht="12.75">
      <c r="A14" s="21"/>
      <c r="B14" s="23" t="s">
        <v>11</v>
      </c>
      <c r="C14" s="29">
        <v>5</v>
      </c>
      <c r="D14" s="9">
        <v>39.17350135682844</v>
      </c>
      <c r="E14" s="33">
        <v>0</v>
      </c>
    </row>
    <row r="15" spans="1:5" ht="12.75">
      <c r="A15" s="21"/>
      <c r="B15" s="23" t="s">
        <v>51</v>
      </c>
      <c r="C15" s="29">
        <v>2.25</v>
      </c>
      <c r="D15" s="9">
        <v>7.284231510643899</v>
      </c>
      <c r="E15" s="33">
        <v>7.284231510643899</v>
      </c>
    </row>
    <row r="16" spans="1:5" ht="12.75">
      <c r="A16" s="21"/>
      <c r="B16" s="23" t="s">
        <v>22</v>
      </c>
      <c r="C16" s="29">
        <v>0.5</v>
      </c>
      <c r="D16" s="9">
        <v>2.9811609844315363</v>
      </c>
      <c r="E16" s="33">
        <v>0</v>
      </c>
    </row>
    <row r="17" spans="1:5" ht="12.75">
      <c r="A17" s="21"/>
      <c r="B17" s="23" t="s">
        <v>205</v>
      </c>
      <c r="C17" s="29">
        <v>0.4195949074074074</v>
      </c>
      <c r="D17" s="9">
        <v>1.580058905973633</v>
      </c>
      <c r="E17" s="33">
        <v>1.580058905973633</v>
      </c>
    </row>
    <row r="18" spans="1:5" ht="12.75">
      <c r="A18" s="21"/>
      <c r="B18" s="23" t="s">
        <v>24</v>
      </c>
      <c r="C18" s="29">
        <v>2.25</v>
      </c>
      <c r="D18" s="9">
        <v>11.720669765107147</v>
      </c>
      <c r="E18" s="33">
        <v>11.720669765107147</v>
      </c>
    </row>
    <row r="19" spans="1:5" ht="12.75">
      <c r="A19" s="21"/>
      <c r="B19" s="23" t="s">
        <v>206</v>
      </c>
      <c r="C19" s="29">
        <v>0.30625</v>
      </c>
      <c r="D19" s="9">
        <v>1.1468317102828511</v>
      </c>
      <c r="E19" s="33">
        <v>1.1468317102828511</v>
      </c>
    </row>
    <row r="20" spans="1:5" ht="12.75">
      <c r="A20" s="21"/>
      <c r="B20" s="23" t="s">
        <v>202</v>
      </c>
      <c r="C20" s="29">
        <v>0.6231383765657362</v>
      </c>
      <c r="D20" s="9">
        <v>3.7544605967894493</v>
      </c>
      <c r="E20" s="33">
        <v>3.7544605967894493</v>
      </c>
    </row>
    <row r="21" spans="1:5" ht="12.75">
      <c r="A21" s="21"/>
      <c r="B21" s="23" t="s">
        <v>201</v>
      </c>
      <c r="C21" s="29">
        <v>0.20740740740740737</v>
      </c>
      <c r="D21" s="9">
        <v>0.9133703881605963</v>
      </c>
      <c r="E21" s="33">
        <v>0.9133703881605963</v>
      </c>
    </row>
    <row r="22" spans="1:5" ht="12.75">
      <c r="A22" s="21"/>
      <c r="B22" s="23" t="s">
        <v>145</v>
      </c>
      <c r="C22" s="29">
        <v>4.2</v>
      </c>
      <c r="E22" s="33"/>
    </row>
    <row r="23" spans="1:5" ht="12.75">
      <c r="A23" s="21"/>
      <c r="B23" s="23" t="s">
        <v>35</v>
      </c>
      <c r="C23" s="29">
        <v>1</v>
      </c>
      <c r="D23" s="9">
        <v>5.428851055859535</v>
      </c>
      <c r="E23" s="33">
        <v>0</v>
      </c>
    </row>
    <row r="24" spans="1:5" ht="12.75">
      <c r="A24" s="19" t="s">
        <v>279</v>
      </c>
      <c r="B24" s="20"/>
      <c r="C24" s="28">
        <v>23.468690026959653</v>
      </c>
      <c r="D24" s="36">
        <v>113.98326909536333</v>
      </c>
      <c r="E24" s="32">
        <v>46.99710478588572</v>
      </c>
    </row>
    <row r="25" spans="1:5" ht="12.75">
      <c r="A25" s="19" t="s">
        <v>211</v>
      </c>
      <c r="B25" s="19" t="s">
        <v>230</v>
      </c>
      <c r="C25" s="28">
        <v>0.03</v>
      </c>
      <c r="D25" s="36">
        <v>0.10448475821786624</v>
      </c>
      <c r="E25" s="32">
        <v>0</v>
      </c>
    </row>
    <row r="26" spans="1:5" ht="12.75">
      <c r="A26" s="21"/>
      <c r="B26" s="23" t="s">
        <v>75</v>
      </c>
      <c r="C26" s="29"/>
      <c r="E26" s="33">
        <v>53.43225285637658</v>
      </c>
    </row>
    <row r="27" spans="1:5" ht="12.75">
      <c r="A27" s="21"/>
      <c r="B27" s="23" t="s">
        <v>6</v>
      </c>
      <c r="C27" s="29">
        <v>0.04</v>
      </c>
      <c r="D27" s="9">
        <v>0.2813901689571107</v>
      </c>
      <c r="E27" s="33">
        <v>0</v>
      </c>
    </row>
    <row r="28" spans="1:5" ht="12.75">
      <c r="A28" s="21"/>
      <c r="B28" s="23" t="s">
        <v>229</v>
      </c>
      <c r="C28" s="29">
        <v>0.7</v>
      </c>
      <c r="E28" s="33">
        <v>0</v>
      </c>
    </row>
    <row r="29" spans="1:5" ht="12.75">
      <c r="A29" s="21"/>
      <c r="B29" s="23" t="s">
        <v>71</v>
      </c>
      <c r="C29" s="29">
        <v>0.1</v>
      </c>
      <c r="D29" s="9">
        <v>0.37053309529617984</v>
      </c>
      <c r="E29" s="33">
        <v>0.37053309529617984</v>
      </c>
    </row>
    <row r="30" spans="1:5" ht="12.75">
      <c r="A30" s="21"/>
      <c r="B30" s="23" t="s">
        <v>74</v>
      </c>
      <c r="C30" s="29">
        <v>0.5733333333333334</v>
      </c>
      <c r="D30" s="9">
        <v>2.749589201708611</v>
      </c>
      <c r="E30" s="33">
        <v>0</v>
      </c>
    </row>
    <row r="31" spans="1:5" ht="12.75">
      <c r="A31" s="21"/>
      <c r="B31" s="23" t="s">
        <v>228</v>
      </c>
      <c r="C31" s="29">
        <v>0.5</v>
      </c>
      <c r="E31" s="33">
        <v>0</v>
      </c>
    </row>
    <row r="32" spans="1:5" ht="12.75">
      <c r="A32" s="21"/>
      <c r="B32" s="23" t="s">
        <v>227</v>
      </c>
      <c r="C32" s="29">
        <v>0.7</v>
      </c>
      <c r="E32" s="33">
        <v>0</v>
      </c>
    </row>
    <row r="33" spans="1:5" ht="12.75">
      <c r="A33" s="21"/>
      <c r="B33" s="23" t="s">
        <v>8</v>
      </c>
      <c r="C33" s="29">
        <v>0.03</v>
      </c>
      <c r="D33" s="9">
        <v>0.23301759570809855</v>
      </c>
      <c r="E33" s="33">
        <v>0</v>
      </c>
    </row>
    <row r="34" spans="1:5" ht="12.75">
      <c r="A34" s="21"/>
      <c r="B34" s="23" t="s">
        <v>231</v>
      </c>
      <c r="C34" s="29">
        <v>0.07</v>
      </c>
      <c r="D34" s="9">
        <v>0.20606716204079176</v>
      </c>
      <c r="E34" s="33">
        <v>0</v>
      </c>
    </row>
    <row r="35" spans="1:5" ht="12.75">
      <c r="A35" s="21"/>
      <c r="B35" s="23" t="s">
        <v>226</v>
      </c>
      <c r="C35" s="29">
        <v>0.5</v>
      </c>
      <c r="E35" s="33">
        <v>0</v>
      </c>
    </row>
    <row r="36" spans="1:5" ht="12.75">
      <c r="A36" s="21"/>
      <c r="B36" s="23" t="s">
        <v>161</v>
      </c>
      <c r="C36" s="29">
        <v>3.5</v>
      </c>
      <c r="D36" s="9">
        <v>24.064325735935242</v>
      </c>
      <c r="E36" s="33">
        <v>0</v>
      </c>
    </row>
    <row r="37" spans="1:5" ht="12.75">
      <c r="A37" s="21"/>
      <c r="B37" s="23" t="s">
        <v>225</v>
      </c>
      <c r="C37" s="29">
        <v>0.026666666666666665</v>
      </c>
      <c r="E37" s="33"/>
    </row>
    <row r="38" spans="1:5" ht="12.75">
      <c r="A38" s="21"/>
      <c r="B38" s="23" t="s">
        <v>224</v>
      </c>
      <c r="C38" s="29">
        <v>0.2</v>
      </c>
      <c r="E38" s="33"/>
    </row>
    <row r="39" spans="1:5" ht="12.75">
      <c r="A39" s="21"/>
      <c r="B39" s="23" t="s">
        <v>223</v>
      </c>
      <c r="C39" s="29">
        <v>1.5</v>
      </c>
      <c r="E39" s="33"/>
    </row>
    <row r="40" spans="1:5" ht="12.75">
      <c r="A40" s="21"/>
      <c r="B40" s="23" t="s">
        <v>160</v>
      </c>
      <c r="C40" s="29">
        <v>0.4</v>
      </c>
      <c r="D40" s="9">
        <v>1.221752992917907</v>
      </c>
      <c r="E40" s="33">
        <v>0</v>
      </c>
    </row>
    <row r="41" spans="1:5" ht="12.75">
      <c r="A41" s="21"/>
      <c r="B41" s="23" t="s">
        <v>222</v>
      </c>
      <c r="C41" s="29">
        <v>4.13</v>
      </c>
      <c r="D41" s="9">
        <v>20.19706961233611</v>
      </c>
      <c r="E41" s="33">
        <v>0</v>
      </c>
    </row>
    <row r="42" spans="1:5" ht="12.75">
      <c r="A42" s="19" t="s">
        <v>280</v>
      </c>
      <c r="B42" s="20"/>
      <c r="C42" s="28">
        <v>13</v>
      </c>
      <c r="D42" s="36">
        <v>49.428230323117916</v>
      </c>
      <c r="E42" s="32">
        <v>53.80278595167276</v>
      </c>
    </row>
    <row r="43" spans="1:5" ht="12.75">
      <c r="A43" s="19" t="s">
        <v>208</v>
      </c>
      <c r="B43" s="19" t="s">
        <v>248</v>
      </c>
      <c r="C43" s="28">
        <v>0.06939044481054366</v>
      </c>
      <c r="D43" s="36">
        <v>0.3564861501508776</v>
      </c>
      <c r="E43" s="32"/>
    </row>
    <row r="44" spans="1:5" ht="12.75">
      <c r="A44" s="21"/>
      <c r="B44" s="23" t="s">
        <v>97</v>
      </c>
      <c r="C44" s="29"/>
      <c r="E44" s="33">
        <v>30.983556126049386</v>
      </c>
    </row>
    <row r="45" spans="1:5" ht="12.75">
      <c r="A45" s="21"/>
      <c r="B45" s="23" t="s">
        <v>258</v>
      </c>
      <c r="C45" s="29">
        <v>0.10148760330578512</v>
      </c>
      <c r="D45" s="9">
        <v>0.4883277415936454</v>
      </c>
      <c r="E45" s="33">
        <v>0.4883277415936454</v>
      </c>
    </row>
    <row r="46" spans="1:5" ht="12.75">
      <c r="A46" s="21"/>
      <c r="B46" s="23" t="s">
        <v>259</v>
      </c>
      <c r="C46" s="29">
        <v>0.035668789808917196</v>
      </c>
      <c r="D46" s="9">
        <v>0.17162745995967454</v>
      </c>
      <c r="E46" s="33">
        <v>0.17162745995967454</v>
      </c>
    </row>
    <row r="47" spans="1:5" ht="12.75">
      <c r="A47" s="21"/>
      <c r="B47" s="23" t="s">
        <v>99</v>
      </c>
      <c r="C47" s="29">
        <v>2.2730061349693247</v>
      </c>
      <c r="D47" s="9">
        <v>11.677331202255369</v>
      </c>
      <c r="E47" s="33">
        <v>11.677331202255369</v>
      </c>
    </row>
    <row r="48" spans="1:5" ht="12.75">
      <c r="A48" s="21"/>
      <c r="B48" s="23" t="s">
        <v>255</v>
      </c>
      <c r="C48" s="29">
        <v>0.4031833096453826</v>
      </c>
      <c r="D48" s="9">
        <v>1.9399964984310358</v>
      </c>
      <c r="E48" s="33"/>
    </row>
    <row r="49" spans="1:5" ht="12.75">
      <c r="A49" s="21"/>
      <c r="B49" s="23" t="s">
        <v>256</v>
      </c>
      <c r="C49" s="29">
        <v>0.9596602972399151</v>
      </c>
      <c r="D49" s="9">
        <v>4.6175959465341005</v>
      </c>
      <c r="E49" s="33"/>
    </row>
    <row r="50" spans="1:5" ht="12.75">
      <c r="A50" s="21"/>
      <c r="B50" s="23" t="s">
        <v>98</v>
      </c>
      <c r="C50" s="29"/>
      <c r="E50" s="33">
        <v>36.02739084424347</v>
      </c>
    </row>
    <row r="51" spans="1:5" ht="12.75">
      <c r="A51" s="21"/>
      <c r="B51" s="23" t="s">
        <v>101</v>
      </c>
      <c r="C51" s="29">
        <v>0.38025</v>
      </c>
      <c r="D51" s="9">
        <v>1.9534945908615102</v>
      </c>
      <c r="E51" s="33">
        <v>1.9534945908615102</v>
      </c>
    </row>
    <row r="52" spans="1:5" ht="12.75">
      <c r="A52" s="21"/>
      <c r="B52" s="23" t="s">
        <v>102</v>
      </c>
      <c r="C52" s="29"/>
      <c r="E52" s="33">
        <v>7.2054781688486935</v>
      </c>
    </row>
    <row r="53" spans="1:5" ht="12.75">
      <c r="A53" s="21"/>
      <c r="B53" s="23" t="s">
        <v>247</v>
      </c>
      <c r="C53" s="29">
        <v>2.197364085667216</v>
      </c>
      <c r="D53" s="9">
        <v>11.288728088111121</v>
      </c>
      <c r="E53" s="33">
        <v>11.645214238261998</v>
      </c>
    </row>
    <row r="54" spans="1:5" ht="12.75">
      <c r="A54" s="21"/>
      <c r="B54" s="23" t="s">
        <v>103</v>
      </c>
      <c r="C54" s="29"/>
      <c r="E54" s="33">
        <v>0.7205478168848694</v>
      </c>
    </row>
    <row r="55" spans="1:5" ht="12.75">
      <c r="A55" s="21"/>
      <c r="B55" s="23" t="s">
        <v>215</v>
      </c>
      <c r="C55" s="29"/>
      <c r="E55" s="33">
        <v>28.101364858509907</v>
      </c>
    </row>
    <row r="56" spans="1:5" ht="12.75">
      <c r="A56" s="21"/>
      <c r="B56" s="23" t="s">
        <v>124</v>
      </c>
      <c r="C56" s="29">
        <v>0.03048780487804878</v>
      </c>
      <c r="D56" s="9">
        <v>0.23918172211421185</v>
      </c>
      <c r="E56" s="33">
        <v>0.5362535139066098</v>
      </c>
    </row>
    <row r="57" spans="1:5" ht="12.75">
      <c r="A57" s="21"/>
      <c r="B57" s="23" t="s">
        <v>217</v>
      </c>
      <c r="C57" s="29">
        <v>0.3695991847826088</v>
      </c>
      <c r="D57" s="9">
        <v>1.9214450202356241</v>
      </c>
      <c r="E57" s="33">
        <v>1.9214450202356241</v>
      </c>
    </row>
    <row r="58" spans="1:5" ht="12.75">
      <c r="A58" s="21"/>
      <c r="B58" s="23" t="s">
        <v>89</v>
      </c>
      <c r="C58" s="29">
        <v>115</v>
      </c>
      <c r="D58" s="9">
        <v>718.1459908285865</v>
      </c>
      <c r="E58" s="33">
        <v>725.9298978086416</v>
      </c>
    </row>
    <row r="59" spans="1:5" ht="12.75">
      <c r="A59" s="21"/>
      <c r="B59" s="23" t="s">
        <v>232</v>
      </c>
      <c r="C59" s="29">
        <v>1.5811499272197962</v>
      </c>
      <c r="D59" s="9">
        <v>11.544338268589351</v>
      </c>
      <c r="E59" s="33"/>
    </row>
    <row r="60" spans="1:5" ht="12.75">
      <c r="A60" s="21"/>
      <c r="B60" s="23" t="s">
        <v>244</v>
      </c>
      <c r="C60" s="29">
        <v>0.0975609756097561</v>
      </c>
      <c r="D60" s="9">
        <v>0.7653815107654779</v>
      </c>
      <c r="E60" s="33">
        <v>0.7653815107654779</v>
      </c>
    </row>
    <row r="61" spans="1:5" ht="12.75">
      <c r="A61" s="21"/>
      <c r="B61" s="23" t="s">
        <v>243</v>
      </c>
      <c r="C61" s="29">
        <v>0.07695652173913045</v>
      </c>
      <c r="D61" s="9">
        <v>0.4588395602125061</v>
      </c>
      <c r="E61" s="33">
        <v>0.4588395602125061</v>
      </c>
    </row>
    <row r="62" spans="1:5" ht="12.75">
      <c r="A62" s="21"/>
      <c r="B62" s="23" t="s">
        <v>245</v>
      </c>
      <c r="C62" s="29">
        <v>0.05782537067545304</v>
      </c>
      <c r="D62" s="9">
        <v>0.2970717917923979</v>
      </c>
      <c r="E62" s="33">
        <v>0</v>
      </c>
    </row>
    <row r="63" spans="1:5" ht="12.75">
      <c r="A63" s="21"/>
      <c r="B63" s="23" t="s">
        <v>233</v>
      </c>
      <c r="C63" s="29">
        <v>3.4188500727802036</v>
      </c>
      <c r="D63" s="9">
        <v>21.314094383724854</v>
      </c>
      <c r="E63" s="33"/>
    </row>
    <row r="64" spans="1:5" ht="12.75">
      <c r="A64" s="21"/>
      <c r="B64" s="23" t="s">
        <v>253</v>
      </c>
      <c r="C64" s="29">
        <v>0.45920873124147343</v>
      </c>
      <c r="D64" s="9">
        <v>2.617462385946505</v>
      </c>
      <c r="E64" s="33">
        <v>0</v>
      </c>
    </row>
    <row r="65" spans="1:5" ht="12.75">
      <c r="A65" s="21"/>
      <c r="B65" s="23" t="s">
        <v>163</v>
      </c>
      <c r="C65" s="29">
        <v>0.5</v>
      </c>
      <c r="D65" s="9">
        <v>3.122373873167767</v>
      </c>
      <c r="E65" s="33">
        <v>3.122373873167767</v>
      </c>
    </row>
    <row r="66" spans="1:5" ht="12.75">
      <c r="A66" s="21"/>
      <c r="B66" s="23" t="s">
        <v>60</v>
      </c>
      <c r="C66" s="29">
        <v>7.5</v>
      </c>
      <c r="D66" s="9">
        <v>52.5625752518192</v>
      </c>
      <c r="E66" s="33">
        <v>0</v>
      </c>
    </row>
    <row r="67" spans="1:5" ht="12.75">
      <c r="A67" s="21"/>
      <c r="B67" s="23" t="s">
        <v>122</v>
      </c>
      <c r="C67" s="29">
        <v>0.9269287338966536</v>
      </c>
      <c r="D67" s="9">
        <v>6.044564534177033</v>
      </c>
      <c r="E67" s="33">
        <v>6.044564534177033</v>
      </c>
    </row>
    <row r="68" spans="1:5" ht="12.75">
      <c r="A68" s="21"/>
      <c r="B68" s="23" t="s">
        <v>143</v>
      </c>
      <c r="C68" s="29">
        <v>0.625</v>
      </c>
      <c r="D68" s="9">
        <v>2.9680857169559594</v>
      </c>
      <c r="E68" s="33">
        <v>2.9680857169559594</v>
      </c>
    </row>
    <row r="69" spans="1:5" ht="12.75">
      <c r="A69" s="21"/>
      <c r="B69" s="23" t="s">
        <v>261</v>
      </c>
      <c r="C69" s="29">
        <v>0.2618918918918918</v>
      </c>
      <c r="D69" s="9">
        <v>1.3615042787817322</v>
      </c>
      <c r="E69" s="33">
        <v>0</v>
      </c>
    </row>
    <row r="70" spans="1:5" ht="12.75">
      <c r="A70" s="21"/>
      <c r="B70" s="23" t="s">
        <v>88</v>
      </c>
      <c r="C70" s="29">
        <v>16.5</v>
      </c>
      <c r="D70" s="9">
        <v>103.03833781453632</v>
      </c>
      <c r="E70" s="33"/>
    </row>
    <row r="71" spans="1:5" ht="12.75">
      <c r="A71" s="21"/>
      <c r="B71" s="23" t="s">
        <v>65</v>
      </c>
      <c r="C71" s="29">
        <v>1.5</v>
      </c>
      <c r="D71" s="9">
        <v>7.783906980055158</v>
      </c>
      <c r="E71" s="33">
        <v>0</v>
      </c>
    </row>
    <row r="72" spans="1:5" ht="12.75">
      <c r="A72" s="21"/>
      <c r="B72" s="23" t="s">
        <v>64</v>
      </c>
      <c r="C72" s="29">
        <v>1</v>
      </c>
      <c r="D72" s="9">
        <v>5.189271320036772</v>
      </c>
      <c r="E72" s="33">
        <v>0</v>
      </c>
    </row>
    <row r="73" spans="1:5" ht="12.75">
      <c r="A73" s="21"/>
      <c r="B73" s="23" t="s">
        <v>182</v>
      </c>
      <c r="C73" s="29">
        <v>0.25</v>
      </c>
      <c r="D73" s="9">
        <v>0.9296146280441518</v>
      </c>
      <c r="E73" s="33">
        <v>0</v>
      </c>
    </row>
    <row r="74" spans="1:5" ht="12.75">
      <c r="A74" s="21"/>
      <c r="B74" s="23" t="s">
        <v>174</v>
      </c>
      <c r="C74" s="29">
        <v>0.5</v>
      </c>
      <c r="D74" s="9">
        <v>2.040160134749217</v>
      </c>
      <c r="E74" s="33">
        <v>0</v>
      </c>
    </row>
    <row r="75" spans="1:5" ht="12.75">
      <c r="A75" s="21"/>
      <c r="B75" s="23" t="s">
        <v>151</v>
      </c>
      <c r="C75" s="29">
        <v>1.7</v>
      </c>
      <c r="D75" s="9">
        <v>11.228409268101768</v>
      </c>
      <c r="E75" s="33">
        <v>13.331535734636947</v>
      </c>
    </row>
    <row r="76" spans="1:5" ht="12.75">
      <c r="A76" s="21"/>
      <c r="B76" s="23" t="s">
        <v>73</v>
      </c>
      <c r="C76" s="29">
        <v>150</v>
      </c>
      <c r="D76" s="9">
        <v>1237.8325042083839</v>
      </c>
      <c r="E76" s="33">
        <v>1237.8325042083839</v>
      </c>
    </row>
    <row r="77" spans="1:5" ht="12.75">
      <c r="A77" s="21"/>
      <c r="B77" s="23" t="s">
        <v>260</v>
      </c>
      <c r="C77" s="29">
        <v>0.4370860927152318</v>
      </c>
      <c r="D77" s="9">
        <v>2.1031264665351794</v>
      </c>
      <c r="E77" s="33">
        <v>0</v>
      </c>
    </row>
    <row r="78" spans="1:5" ht="12.75">
      <c r="A78" s="21"/>
      <c r="B78" s="23" t="s">
        <v>46</v>
      </c>
      <c r="C78" s="29">
        <v>0.12</v>
      </c>
      <c r="D78" s="9">
        <v>0.8135283401408007</v>
      </c>
      <c r="E78" s="33">
        <v>0</v>
      </c>
    </row>
    <row r="79" spans="1:5" ht="12.75">
      <c r="A79" s="21"/>
      <c r="B79" s="23" t="s">
        <v>67</v>
      </c>
      <c r="C79" s="29">
        <v>0.5</v>
      </c>
      <c r="D79" s="9">
        <v>1.8049215447886156</v>
      </c>
      <c r="E79" s="33">
        <v>0</v>
      </c>
    </row>
    <row r="80" spans="1:5" ht="12.75">
      <c r="A80" s="21"/>
      <c r="B80" s="23" t="s">
        <v>15</v>
      </c>
      <c r="C80" s="29">
        <v>130</v>
      </c>
      <c r="E80" s="33"/>
    </row>
    <row r="81" spans="1:5" ht="12.75">
      <c r="A81" s="21"/>
      <c r="B81" s="23" t="s">
        <v>48</v>
      </c>
      <c r="C81" s="29">
        <v>11.7</v>
      </c>
      <c r="E81" s="33"/>
    </row>
    <row r="82" spans="1:5" ht="12.75">
      <c r="A82" s="21"/>
      <c r="B82" s="23" t="s">
        <v>16</v>
      </c>
      <c r="C82" s="29">
        <v>5</v>
      </c>
      <c r="D82" s="9">
        <v>39.225802426730745</v>
      </c>
      <c r="E82" s="33">
        <v>44.41507374676752</v>
      </c>
    </row>
    <row r="83" spans="1:5" ht="12.75">
      <c r="A83" s="21"/>
      <c r="B83" s="23" t="s">
        <v>17</v>
      </c>
      <c r="C83" s="29">
        <v>1.25</v>
      </c>
      <c r="D83" s="9">
        <v>8.64944669776136</v>
      </c>
      <c r="E83" s="33">
        <v>0</v>
      </c>
    </row>
    <row r="84" spans="1:5" ht="12.75">
      <c r="A84" s="21"/>
      <c r="B84" s="23" t="s">
        <v>18</v>
      </c>
      <c r="C84" s="29">
        <v>0.3</v>
      </c>
      <c r="D84" s="9">
        <v>2.7112718773240685</v>
      </c>
      <c r="E84" s="33">
        <v>0</v>
      </c>
    </row>
    <row r="85" spans="1:5" ht="12.75">
      <c r="A85" s="21"/>
      <c r="B85" s="23" t="s">
        <v>20</v>
      </c>
      <c r="C85" s="29">
        <v>22</v>
      </c>
      <c r="D85" s="9">
        <v>193.7650037740694</v>
      </c>
      <c r="E85" s="33">
        <v>193.7650037740694</v>
      </c>
    </row>
    <row r="86" spans="1:5" ht="12.75">
      <c r="A86" s="21"/>
      <c r="B86" s="23" t="s">
        <v>21</v>
      </c>
      <c r="C86" s="29">
        <v>0.2</v>
      </c>
      <c r="D86" s="9">
        <v>1.0828711386216932</v>
      </c>
      <c r="E86" s="33">
        <v>0</v>
      </c>
    </row>
    <row r="87" spans="1:5" ht="12.75">
      <c r="A87" s="21"/>
      <c r="B87" s="23" t="s">
        <v>119</v>
      </c>
      <c r="C87" s="29">
        <v>1.6666666666666667</v>
      </c>
      <c r="D87" s="9">
        <v>9.5806262093045</v>
      </c>
      <c r="E87" s="33">
        <v>9.5806262093045</v>
      </c>
    </row>
    <row r="88" spans="1:5" ht="12.75">
      <c r="A88" s="21"/>
      <c r="B88" s="23" t="s">
        <v>120</v>
      </c>
      <c r="C88" s="29">
        <v>0.7272727272727273</v>
      </c>
      <c r="D88" s="9">
        <v>2.1774150475692045</v>
      </c>
      <c r="E88" s="33">
        <v>2.1774150475692045</v>
      </c>
    </row>
    <row r="89" spans="1:5" ht="12.75">
      <c r="A89" s="21"/>
      <c r="B89" s="23" t="s">
        <v>121</v>
      </c>
      <c r="C89" s="29">
        <v>3.6</v>
      </c>
      <c r="D89" s="9">
        <v>22.324155817790068</v>
      </c>
      <c r="E89" s="33">
        <v>22.324155817790068</v>
      </c>
    </row>
    <row r="90" spans="1:5" ht="12.75">
      <c r="A90" s="21"/>
      <c r="B90" s="23" t="s">
        <v>49</v>
      </c>
      <c r="C90" s="29">
        <v>5</v>
      </c>
      <c r="E90" s="33">
        <v>32.85843265231421</v>
      </c>
    </row>
    <row r="91" spans="1:5" ht="12.75">
      <c r="A91" s="21"/>
      <c r="B91" s="23" t="s">
        <v>123</v>
      </c>
      <c r="C91" s="29">
        <v>0.5</v>
      </c>
      <c r="D91" s="9">
        <v>3.9173501356828435</v>
      </c>
      <c r="E91" s="33">
        <v>3.9173501356828435</v>
      </c>
    </row>
    <row r="92" spans="1:5" ht="12.75">
      <c r="A92" s="21"/>
      <c r="B92" s="23" t="s">
        <v>252</v>
      </c>
      <c r="C92" s="29">
        <v>0.3</v>
      </c>
      <c r="D92" s="9">
        <v>2.8617275081155515</v>
      </c>
      <c r="E92" s="33">
        <v>0</v>
      </c>
    </row>
    <row r="93" spans="1:5" ht="12.75">
      <c r="A93" s="21"/>
      <c r="B93" s="23" t="s">
        <v>23</v>
      </c>
      <c r="C93" s="29">
        <v>0.5</v>
      </c>
      <c r="E93" s="33"/>
    </row>
    <row r="94" spans="1:5" ht="12.75">
      <c r="A94" s="21"/>
      <c r="B94" s="23" t="s">
        <v>162</v>
      </c>
      <c r="C94" s="29">
        <v>0.6</v>
      </c>
      <c r="E94" s="33"/>
    </row>
    <row r="95" spans="1:5" ht="12.75">
      <c r="A95" s="21"/>
      <c r="B95" s="23" t="s">
        <v>159</v>
      </c>
      <c r="C95" s="29">
        <v>2.5</v>
      </c>
      <c r="D95" s="9">
        <v>0</v>
      </c>
      <c r="E95" s="33">
        <v>0</v>
      </c>
    </row>
    <row r="96" spans="1:5" ht="12.75">
      <c r="A96" s="21"/>
      <c r="B96" s="23" t="s">
        <v>26</v>
      </c>
      <c r="C96" s="29">
        <v>0.09</v>
      </c>
      <c r="D96" s="9">
        <v>0.8133815631972205</v>
      </c>
      <c r="E96" s="33">
        <v>0.8133815631972205</v>
      </c>
    </row>
    <row r="97" spans="1:5" ht="12.75">
      <c r="A97" s="21"/>
      <c r="B97" s="23" t="s">
        <v>27</v>
      </c>
      <c r="C97" s="29">
        <v>28</v>
      </c>
      <c r="E97" s="33">
        <v>240.4901980907973</v>
      </c>
    </row>
    <row r="98" spans="1:5" ht="12.75">
      <c r="A98" s="21"/>
      <c r="B98" s="23" t="s">
        <v>47</v>
      </c>
      <c r="C98" s="29"/>
      <c r="E98" s="33">
        <v>0</v>
      </c>
    </row>
    <row r="99" spans="1:5" ht="12.75">
      <c r="A99" s="21"/>
      <c r="B99" s="23" t="s">
        <v>28</v>
      </c>
      <c r="C99" s="29"/>
      <c r="E99" s="33">
        <v>0</v>
      </c>
    </row>
    <row r="100" spans="1:5" ht="12.75">
      <c r="A100" s="21"/>
      <c r="B100" s="23" t="s">
        <v>141</v>
      </c>
      <c r="C100" s="29">
        <v>0.667</v>
      </c>
      <c r="D100" s="9">
        <v>4.374555628554837</v>
      </c>
      <c r="E100" s="33">
        <v>0</v>
      </c>
    </row>
    <row r="101" spans="1:5" ht="12.75">
      <c r="A101" s="21"/>
      <c r="B101" s="23" t="s">
        <v>30</v>
      </c>
      <c r="C101" s="29">
        <v>1.6</v>
      </c>
      <c r="D101" s="9">
        <v>7.221870277991178</v>
      </c>
      <c r="E101" s="33">
        <v>0</v>
      </c>
    </row>
    <row r="102" spans="1:5" ht="12.75">
      <c r="A102" s="21"/>
      <c r="B102" s="23" t="s">
        <v>142</v>
      </c>
      <c r="C102" s="29">
        <v>0.625</v>
      </c>
      <c r="D102" s="9">
        <v>2.9680857169559594</v>
      </c>
      <c r="E102" s="33">
        <v>2.9680857169559594</v>
      </c>
    </row>
    <row r="103" spans="1:5" ht="12.75">
      <c r="A103" s="21"/>
      <c r="B103" s="23" t="s">
        <v>34</v>
      </c>
      <c r="C103" s="29">
        <v>1.45</v>
      </c>
      <c r="D103" s="9">
        <v>12.614732309558</v>
      </c>
      <c r="E103" s="33">
        <v>0</v>
      </c>
    </row>
    <row r="104" spans="1:5" ht="12.75">
      <c r="A104" s="21"/>
      <c r="B104" s="23" t="s">
        <v>96</v>
      </c>
      <c r="C104" s="29">
        <v>1.8034442934782609</v>
      </c>
      <c r="D104" s="9">
        <v>9.37561336617756</v>
      </c>
      <c r="E104" s="33">
        <v>13.354580030905797</v>
      </c>
    </row>
    <row r="105" spans="1:5" ht="12.75">
      <c r="A105" s="21"/>
      <c r="B105" s="23" t="s">
        <v>36</v>
      </c>
      <c r="C105" s="29">
        <v>7.9</v>
      </c>
      <c r="E105" s="33"/>
    </row>
    <row r="106" spans="1:5" ht="12.75">
      <c r="A106" s="21"/>
      <c r="B106" s="23" t="s">
        <v>257</v>
      </c>
      <c r="C106" s="29">
        <v>2</v>
      </c>
      <c r="E106" s="33"/>
    </row>
    <row r="107" spans="1:5" ht="12.75">
      <c r="A107" s="21"/>
      <c r="B107" s="23" t="s">
        <v>150</v>
      </c>
      <c r="C107" s="29">
        <v>1.5</v>
      </c>
      <c r="E107" s="33">
        <v>6.557592444965136</v>
      </c>
    </row>
    <row r="108" spans="1:5" ht="12.75">
      <c r="A108" s="21"/>
      <c r="B108" s="23" t="s">
        <v>38</v>
      </c>
      <c r="C108" s="29">
        <v>2.2</v>
      </c>
      <c r="D108" s="9">
        <v>14.906366032973857</v>
      </c>
      <c r="E108" s="33">
        <v>0</v>
      </c>
    </row>
    <row r="109" spans="1:5" ht="12.75">
      <c r="A109" s="19" t="s">
        <v>281</v>
      </c>
      <c r="B109" s="20"/>
      <c r="C109" s="28">
        <v>543.5119396602952</v>
      </c>
      <c r="D109" s="36">
        <v>2567.1905530385175</v>
      </c>
      <c r="E109" s="32">
        <v>2695.107109758871</v>
      </c>
    </row>
    <row r="110" spans="1:5" ht="12.75">
      <c r="A110" s="19" t="s">
        <v>210</v>
      </c>
      <c r="B110" s="19" t="s">
        <v>116</v>
      </c>
      <c r="C110" s="28"/>
      <c r="D110" s="36"/>
      <c r="E110" s="32"/>
    </row>
    <row r="111" spans="1:5" ht="12.75">
      <c r="A111" s="21"/>
      <c r="B111" s="23" t="s">
        <v>265</v>
      </c>
      <c r="C111" s="29">
        <v>0.3258620689655173</v>
      </c>
      <c r="D111" s="9">
        <v>1.6736162020221548</v>
      </c>
      <c r="E111" s="33">
        <v>0</v>
      </c>
    </row>
    <row r="112" spans="1:5" ht="12.75">
      <c r="A112" s="21"/>
      <c r="B112" s="23" t="s">
        <v>269</v>
      </c>
      <c r="C112" s="29">
        <v>0.4995833333333333</v>
      </c>
      <c r="D112" s="9">
        <v>6.411993492615639</v>
      </c>
      <c r="E112" s="33">
        <v>0</v>
      </c>
    </row>
    <row r="113" spans="1:5" ht="12.75">
      <c r="A113" s="21"/>
      <c r="B113" s="23" t="s">
        <v>270</v>
      </c>
      <c r="C113" s="29">
        <v>0.4995833333333333</v>
      </c>
      <c r="D113" s="9">
        <v>6.411993492615639</v>
      </c>
      <c r="E113" s="33">
        <v>0</v>
      </c>
    </row>
    <row r="114" spans="1:5" ht="12.75">
      <c r="A114" s="21"/>
      <c r="B114" s="23" t="s">
        <v>267</v>
      </c>
      <c r="C114" s="29">
        <v>0.22868421052631582</v>
      </c>
      <c r="D114" s="9">
        <v>1.9160607066225999</v>
      </c>
      <c r="E114" s="33">
        <v>0</v>
      </c>
    </row>
    <row r="115" spans="1:5" ht="12.75">
      <c r="A115" s="21"/>
      <c r="B115" s="23" t="s">
        <v>268</v>
      </c>
      <c r="C115" s="29">
        <v>0.050416666666666665</v>
      </c>
      <c r="D115" s="9">
        <v>0.5864344631246083</v>
      </c>
      <c r="E115" s="33">
        <v>0</v>
      </c>
    </row>
    <row r="116" spans="1:5" ht="12.75">
      <c r="A116" s="21"/>
      <c r="B116" s="23" t="s">
        <v>266</v>
      </c>
      <c r="C116" s="29">
        <v>0.64625</v>
      </c>
      <c r="D116" s="9">
        <v>8.848726489899104</v>
      </c>
      <c r="E116" s="33">
        <v>0</v>
      </c>
    </row>
    <row r="117" spans="1:5" ht="12.75">
      <c r="A117" s="21"/>
      <c r="B117" s="23" t="s">
        <v>264</v>
      </c>
      <c r="C117" s="29">
        <v>0.5041666666666668</v>
      </c>
      <c r="D117" s="9">
        <v>7.161672670172826</v>
      </c>
      <c r="E117" s="33">
        <v>0</v>
      </c>
    </row>
    <row r="118" spans="1:5" ht="12.75">
      <c r="A118" s="21"/>
      <c r="B118" s="23" t="s">
        <v>238</v>
      </c>
      <c r="C118" s="29">
        <v>0.75</v>
      </c>
      <c r="D118" s="9">
        <v>3.2783705309963835</v>
      </c>
      <c r="E118" s="33"/>
    </row>
    <row r="119" spans="1:5" ht="12.75">
      <c r="A119" s="21"/>
      <c r="B119" s="23" t="s">
        <v>56</v>
      </c>
      <c r="C119" s="29">
        <v>0.5</v>
      </c>
      <c r="D119" s="9">
        <v>6.778218659339072</v>
      </c>
      <c r="E119" s="33">
        <v>0</v>
      </c>
    </row>
    <row r="120" spans="1:5" ht="12.75">
      <c r="A120" s="21"/>
      <c r="B120" s="23" t="s">
        <v>117</v>
      </c>
      <c r="C120" s="29">
        <v>0.1</v>
      </c>
      <c r="D120" s="9">
        <v>1.338907389499076</v>
      </c>
      <c r="E120" s="33">
        <v>0</v>
      </c>
    </row>
    <row r="121" spans="1:5" ht="12.75">
      <c r="A121" s="21"/>
      <c r="B121" s="23" t="s">
        <v>91</v>
      </c>
      <c r="C121" s="29">
        <v>0.15</v>
      </c>
      <c r="D121" s="9">
        <v>1.1406863345693299</v>
      </c>
      <c r="E121" s="33">
        <v>0</v>
      </c>
    </row>
    <row r="122" spans="1:5" ht="12.75">
      <c r="A122" s="21"/>
      <c r="B122" s="23" t="s">
        <v>271</v>
      </c>
      <c r="C122" s="29">
        <v>0.5</v>
      </c>
      <c r="D122" s="9">
        <v>6.778218659339072</v>
      </c>
      <c r="E122" s="33"/>
    </row>
    <row r="123" spans="1:5" ht="12.75">
      <c r="A123" s="21"/>
      <c r="B123" s="23" t="s">
        <v>106</v>
      </c>
      <c r="C123" s="29">
        <v>0.3971631205673759</v>
      </c>
      <c r="D123" s="9">
        <v>5.317646369641721</v>
      </c>
      <c r="E123" s="33">
        <v>6.656553759140797</v>
      </c>
    </row>
    <row r="124" spans="1:5" ht="12.75">
      <c r="A124" s="21"/>
      <c r="B124" s="23" t="s">
        <v>86</v>
      </c>
      <c r="C124" s="29">
        <v>12</v>
      </c>
      <c r="D124" s="9">
        <v>148.99528793769406</v>
      </c>
      <c r="E124" s="33">
        <v>170.9826577246242</v>
      </c>
    </row>
    <row r="125" spans="1:5" ht="12.75">
      <c r="A125" s="21"/>
      <c r="B125" s="23" t="s">
        <v>70</v>
      </c>
      <c r="C125" s="29">
        <v>1</v>
      </c>
      <c r="D125" s="9">
        <v>11.900725955908134</v>
      </c>
      <c r="E125" s="33">
        <v>0</v>
      </c>
    </row>
    <row r="126" spans="1:5" ht="12.75">
      <c r="A126" s="21"/>
      <c r="B126" s="23" t="s">
        <v>95</v>
      </c>
      <c r="C126" s="29">
        <v>4.3</v>
      </c>
      <c r="D126" s="9">
        <v>57.88787018927216</v>
      </c>
      <c r="E126" s="33">
        <v>57.88787018927216</v>
      </c>
    </row>
    <row r="127" spans="1:5" ht="12.75">
      <c r="A127" s="21"/>
      <c r="B127" s="23" t="s">
        <v>112</v>
      </c>
      <c r="C127" s="29">
        <v>2.5</v>
      </c>
      <c r="D127" s="9">
        <v>33.472684737476904</v>
      </c>
      <c r="E127" s="33">
        <v>0</v>
      </c>
    </row>
    <row r="128" spans="1:5" ht="12.75">
      <c r="A128" s="21"/>
      <c r="B128" s="23" t="s">
        <v>54</v>
      </c>
      <c r="C128" s="29">
        <v>0.75</v>
      </c>
      <c r="D128" s="9">
        <v>10.096721544640493</v>
      </c>
      <c r="E128" s="33">
        <v>10.096721544640493</v>
      </c>
    </row>
    <row r="129" spans="1:5" ht="12.75">
      <c r="A129" s="21"/>
      <c r="B129" s="23" t="s">
        <v>113</v>
      </c>
      <c r="C129" s="29">
        <v>1</v>
      </c>
      <c r="D129" s="9">
        <v>13.38907389499076</v>
      </c>
      <c r="E129" s="33">
        <v>0</v>
      </c>
    </row>
    <row r="130" spans="1:5" ht="12.75">
      <c r="A130" s="21"/>
      <c r="B130" s="23" t="s">
        <v>236</v>
      </c>
      <c r="C130" s="29">
        <v>0.25</v>
      </c>
      <c r="D130" s="9">
        <v>1.2574571899712157</v>
      </c>
      <c r="E130" s="33"/>
    </row>
    <row r="131" spans="1:5" ht="12.75">
      <c r="A131" s="21"/>
      <c r="B131" s="23" t="s">
        <v>235</v>
      </c>
      <c r="C131" s="29">
        <v>0.5</v>
      </c>
      <c r="D131" s="9">
        <v>4.529412123059583</v>
      </c>
      <c r="E131" s="33"/>
    </row>
    <row r="132" spans="1:5" ht="12.75">
      <c r="A132" s="21"/>
      <c r="B132" s="23" t="s">
        <v>111</v>
      </c>
      <c r="C132" s="29">
        <v>1.1914893617021276</v>
      </c>
      <c r="D132" s="9">
        <v>15.952939108925161</v>
      </c>
      <c r="E132" s="33">
        <v>0</v>
      </c>
    </row>
    <row r="133" spans="1:5" ht="12.75">
      <c r="A133" s="21"/>
      <c r="B133" s="23" t="s">
        <v>108</v>
      </c>
      <c r="C133" s="29">
        <v>0.2978723404255319</v>
      </c>
      <c r="D133" s="9">
        <v>3.9882347772312903</v>
      </c>
      <c r="E133" s="33">
        <v>3.9882347772312903</v>
      </c>
    </row>
    <row r="134" spans="1:5" ht="12.75">
      <c r="A134" s="21"/>
      <c r="B134" s="23" t="s">
        <v>109</v>
      </c>
      <c r="C134" s="29">
        <v>2.0354609929078014</v>
      </c>
      <c r="D134" s="9">
        <v>27.252937644413816</v>
      </c>
      <c r="E134" s="33">
        <v>27.252937644413816</v>
      </c>
    </row>
    <row r="135" spans="1:5" ht="12.75">
      <c r="A135" s="21"/>
      <c r="B135" s="23" t="s">
        <v>272</v>
      </c>
      <c r="C135" s="29">
        <v>1</v>
      </c>
      <c r="D135" s="9">
        <v>15.209151127591067</v>
      </c>
      <c r="E135" s="33"/>
    </row>
    <row r="136" spans="1:5" ht="12.75">
      <c r="A136" s="21"/>
      <c r="B136" s="23" t="s">
        <v>234</v>
      </c>
      <c r="C136" s="29">
        <v>3.5</v>
      </c>
      <c r="D136" s="9">
        <v>53.23202894656873</v>
      </c>
      <c r="E136" s="33"/>
    </row>
    <row r="137" spans="1:5" ht="12.75">
      <c r="A137" s="21"/>
      <c r="B137" s="23" t="s">
        <v>242</v>
      </c>
      <c r="C137" s="29">
        <v>0.5</v>
      </c>
      <c r="D137" s="9">
        <v>2.185580353997589</v>
      </c>
      <c r="E137" s="33"/>
    </row>
    <row r="138" spans="1:5" ht="12.75">
      <c r="A138" s="21"/>
      <c r="B138" s="23" t="s">
        <v>115</v>
      </c>
      <c r="C138" s="29">
        <v>0.5</v>
      </c>
      <c r="D138" s="9">
        <v>6.69453694749538</v>
      </c>
      <c r="E138" s="33">
        <v>0</v>
      </c>
    </row>
    <row r="139" spans="1:5" ht="12.75">
      <c r="A139" s="21"/>
      <c r="B139" s="23" t="s">
        <v>57</v>
      </c>
      <c r="C139" s="29"/>
      <c r="E139" s="33">
        <v>253.75372016823863</v>
      </c>
    </row>
    <row r="140" spans="1:5" ht="12.75">
      <c r="A140" s="21"/>
      <c r="B140" s="23" t="s">
        <v>59</v>
      </c>
      <c r="C140" s="29">
        <v>0.4</v>
      </c>
      <c r="D140" s="9">
        <v>2.8033373467636906</v>
      </c>
      <c r="E140" s="33">
        <v>0</v>
      </c>
    </row>
    <row r="141" spans="1:5" ht="12.75">
      <c r="A141" s="21"/>
      <c r="B141" s="23" t="s">
        <v>110</v>
      </c>
      <c r="C141" s="29">
        <v>0.9929078014184397</v>
      </c>
      <c r="D141" s="9">
        <v>13.2941159241043</v>
      </c>
      <c r="E141" s="33">
        <v>13.2941159241043</v>
      </c>
    </row>
    <row r="142" spans="1:5" ht="12.75">
      <c r="A142" s="21"/>
      <c r="B142" s="23" t="s">
        <v>237</v>
      </c>
      <c r="C142" s="29">
        <v>4</v>
      </c>
      <c r="D142" s="9">
        <v>21.0773776604699</v>
      </c>
      <c r="E142" s="33"/>
    </row>
    <row r="143" spans="1:5" ht="12.75">
      <c r="A143" s="21"/>
      <c r="B143" s="23" t="s">
        <v>107</v>
      </c>
      <c r="C143" s="29">
        <v>2.0851063829787235</v>
      </c>
      <c r="D143" s="9">
        <v>27.917643440619035</v>
      </c>
      <c r="E143" s="33">
        <v>29.058329775188366</v>
      </c>
    </row>
    <row r="144" spans="1:5" ht="12.75">
      <c r="A144" s="21"/>
      <c r="B144" s="23" t="s">
        <v>184</v>
      </c>
      <c r="C144" s="29">
        <v>0.06</v>
      </c>
      <c r="D144" s="9">
        <v>0.659506912517568</v>
      </c>
      <c r="E144" s="33">
        <v>0</v>
      </c>
    </row>
    <row r="145" spans="1:5" ht="12.75">
      <c r="A145" s="21"/>
      <c r="B145" s="23" t="s">
        <v>69</v>
      </c>
      <c r="C145" s="29">
        <v>0.25</v>
      </c>
      <c r="D145" s="9">
        <v>2.9751814889770336</v>
      </c>
      <c r="E145" s="33">
        <v>0</v>
      </c>
    </row>
    <row r="146" spans="1:5" ht="12.75">
      <c r="A146" s="21"/>
      <c r="B146" s="23" t="s">
        <v>130</v>
      </c>
      <c r="C146" s="29"/>
      <c r="E146" s="33">
        <v>13.465976882030759</v>
      </c>
    </row>
    <row r="147" spans="1:5" ht="12.75">
      <c r="A147" s="21"/>
      <c r="B147" s="23" t="s">
        <v>146</v>
      </c>
      <c r="C147" s="29"/>
      <c r="E147" s="33">
        <v>11.386236688074817</v>
      </c>
    </row>
    <row r="148" spans="1:5" ht="12.75">
      <c r="A148" s="21"/>
      <c r="B148" s="23" t="s">
        <v>114</v>
      </c>
      <c r="C148" s="29">
        <v>7</v>
      </c>
      <c r="E148" s="33"/>
    </row>
    <row r="149" spans="1:5" ht="12.75">
      <c r="A149" s="21"/>
      <c r="B149" s="23" t="s">
        <v>81</v>
      </c>
      <c r="C149" s="29">
        <v>0.5</v>
      </c>
      <c r="D149" s="9">
        <v>3.8621480645376685</v>
      </c>
      <c r="E149" s="33">
        <v>0</v>
      </c>
    </row>
    <row r="150" spans="1:5" ht="12.75">
      <c r="A150" s="21"/>
      <c r="B150" s="23" t="s">
        <v>140</v>
      </c>
      <c r="C150" s="29">
        <v>1.12</v>
      </c>
      <c r="D150" s="9">
        <v>10.482905463159685</v>
      </c>
      <c r="E150" s="33">
        <v>0</v>
      </c>
    </row>
    <row r="151" spans="1:5" ht="12.75">
      <c r="A151" s="21"/>
      <c r="B151" s="23" t="s">
        <v>55</v>
      </c>
      <c r="C151" s="29">
        <v>1.25</v>
      </c>
      <c r="D151" s="9">
        <v>16.736342368738452</v>
      </c>
      <c r="E151" s="33">
        <v>16.736342368738452</v>
      </c>
    </row>
    <row r="152" spans="1:5" ht="12.75">
      <c r="A152" s="21"/>
      <c r="B152" s="23" t="s">
        <v>2</v>
      </c>
      <c r="C152" s="29">
        <v>0.2</v>
      </c>
      <c r="D152" s="9">
        <v>0.9786616517861061</v>
      </c>
      <c r="E152" s="33">
        <v>0</v>
      </c>
    </row>
    <row r="153" spans="1:5" ht="12.75">
      <c r="A153" s="21"/>
      <c r="B153" s="23" t="s">
        <v>4</v>
      </c>
      <c r="C153" s="29">
        <v>2.5</v>
      </c>
      <c r="D153" s="9">
        <v>31.69444836079844</v>
      </c>
      <c r="E153" s="33">
        <v>0</v>
      </c>
    </row>
    <row r="154" spans="1:5" ht="12.75">
      <c r="A154" s="21"/>
      <c r="B154" s="23" t="s">
        <v>5</v>
      </c>
      <c r="C154" s="29">
        <v>8</v>
      </c>
      <c r="E154" s="33">
        <v>106.40945760955157</v>
      </c>
    </row>
    <row r="155" spans="1:5" ht="12.75">
      <c r="A155" s="21"/>
      <c r="B155" s="23" t="s">
        <v>76</v>
      </c>
      <c r="C155" s="29">
        <v>2</v>
      </c>
      <c r="D155" s="9">
        <v>28.451782026855366</v>
      </c>
      <c r="E155" s="33">
        <v>0</v>
      </c>
    </row>
    <row r="156" spans="1:5" ht="12.75">
      <c r="A156" s="21"/>
      <c r="B156" s="23" t="s">
        <v>7</v>
      </c>
      <c r="C156" s="29">
        <v>1.25</v>
      </c>
      <c r="D156" s="9">
        <v>6.801637048847568</v>
      </c>
      <c r="E156" s="33">
        <v>0</v>
      </c>
    </row>
    <row r="157" spans="1:5" ht="12.75">
      <c r="A157" s="21"/>
      <c r="B157" s="23" t="s">
        <v>250</v>
      </c>
      <c r="C157" s="29">
        <v>0.05</v>
      </c>
      <c r="D157" s="9">
        <v>0.7390141177196072</v>
      </c>
      <c r="E157" s="33">
        <v>0</v>
      </c>
    </row>
    <row r="158" spans="1:5" ht="12.75">
      <c r="A158" s="21"/>
      <c r="B158" s="23" t="s">
        <v>9</v>
      </c>
      <c r="C158" s="29">
        <v>4.5</v>
      </c>
      <c r="D158" s="9">
        <v>54.30401353244997</v>
      </c>
      <c r="E158" s="33">
        <v>0</v>
      </c>
    </row>
    <row r="159" spans="1:5" ht="12.75">
      <c r="A159" s="21"/>
      <c r="B159" s="23" t="s">
        <v>10</v>
      </c>
      <c r="C159" s="29">
        <v>0.8999999999999999</v>
      </c>
      <c r="D159" s="9">
        <v>8.957775755798275</v>
      </c>
      <c r="E159" s="33">
        <v>0</v>
      </c>
    </row>
    <row r="160" spans="1:5" ht="12.75">
      <c r="A160" s="21"/>
      <c r="B160" s="23" t="s">
        <v>148</v>
      </c>
      <c r="C160" s="29">
        <v>0.13</v>
      </c>
      <c r="D160" s="9">
        <v>0.7383523744599978</v>
      </c>
      <c r="E160" s="33">
        <v>0</v>
      </c>
    </row>
    <row r="161" spans="1:5" ht="12.75">
      <c r="A161" s="21"/>
      <c r="B161" s="23" t="s">
        <v>12</v>
      </c>
      <c r="C161" s="29">
        <v>0.2</v>
      </c>
      <c r="D161" s="9">
        <v>1.5433140650210992</v>
      </c>
      <c r="E161" s="33">
        <v>0</v>
      </c>
    </row>
    <row r="162" spans="1:5" ht="12.75">
      <c r="A162" s="21"/>
      <c r="B162" s="23" t="s">
        <v>13</v>
      </c>
      <c r="C162" s="29">
        <v>16</v>
      </c>
      <c r="D162" s="9">
        <v>216.9029970988503</v>
      </c>
      <c r="E162" s="33">
        <v>216.9029970988503</v>
      </c>
    </row>
    <row r="163" spans="1:5" ht="12.75">
      <c r="A163" s="21"/>
      <c r="B163" s="23" t="s">
        <v>80</v>
      </c>
      <c r="C163" s="29">
        <v>12</v>
      </c>
      <c r="E163" s="33"/>
    </row>
    <row r="164" spans="1:5" ht="12.75">
      <c r="A164" s="21"/>
      <c r="B164" s="23" t="s">
        <v>90</v>
      </c>
      <c r="C164" s="29">
        <v>1.35</v>
      </c>
      <c r="D164" s="9">
        <v>10.26617701112397</v>
      </c>
      <c r="E164" s="33">
        <v>0</v>
      </c>
    </row>
    <row r="165" spans="1:5" ht="12.75">
      <c r="A165" s="21"/>
      <c r="B165" s="23" t="s">
        <v>79</v>
      </c>
      <c r="C165" s="29">
        <v>20</v>
      </c>
      <c r="E165" s="33"/>
    </row>
    <row r="166" spans="1:5" ht="12.75">
      <c r="A166" s="21"/>
      <c r="B166" s="23" t="s">
        <v>14</v>
      </c>
      <c r="C166" s="29">
        <v>1.25</v>
      </c>
      <c r="E166" s="33"/>
    </row>
    <row r="167" spans="1:5" ht="12.75">
      <c r="A167" s="21"/>
      <c r="B167" s="23" t="s">
        <v>129</v>
      </c>
      <c r="C167" s="29">
        <v>0.05</v>
      </c>
      <c r="D167" s="9">
        <v>0.31515532537171387</v>
      </c>
      <c r="E167" s="33">
        <v>0</v>
      </c>
    </row>
    <row r="168" spans="1:5" ht="12.75">
      <c r="A168" s="21"/>
      <c r="B168" s="23" t="s">
        <v>93</v>
      </c>
      <c r="C168" s="29">
        <v>1.25</v>
      </c>
      <c r="D168" s="9">
        <v>11.506235378507684</v>
      </c>
      <c r="E168" s="33">
        <v>11.506235378507684</v>
      </c>
    </row>
    <row r="169" spans="1:5" ht="12.75">
      <c r="A169" s="21"/>
      <c r="B169" s="23" t="s">
        <v>19</v>
      </c>
      <c r="C169" s="29">
        <v>12</v>
      </c>
      <c r="E169" s="33"/>
    </row>
    <row r="170" spans="1:5" ht="12.75">
      <c r="A170" s="21"/>
      <c r="B170" s="23" t="s">
        <v>239</v>
      </c>
      <c r="C170" s="29">
        <v>9.5</v>
      </c>
      <c r="E170" s="33">
        <v>85.5602268050634</v>
      </c>
    </row>
    <row r="171" spans="1:5" ht="12.75">
      <c r="A171" s="21"/>
      <c r="B171" s="23" t="s">
        <v>127</v>
      </c>
      <c r="C171" s="29">
        <v>1.5</v>
      </c>
      <c r="D171" s="9">
        <v>30.10972594275852</v>
      </c>
      <c r="E171" s="33">
        <v>30.10972594275852</v>
      </c>
    </row>
    <row r="172" spans="1:5" ht="12.75">
      <c r="A172" s="21"/>
      <c r="B172" s="23" t="s">
        <v>25</v>
      </c>
      <c r="C172" s="29">
        <v>0.5</v>
      </c>
      <c r="D172" s="9">
        <v>4.193045800860769</v>
      </c>
      <c r="E172" s="33">
        <v>0</v>
      </c>
    </row>
    <row r="173" spans="1:5" ht="12.75">
      <c r="A173" s="21"/>
      <c r="B173" s="23" t="s">
        <v>137</v>
      </c>
      <c r="C173" s="29">
        <v>0.88</v>
      </c>
      <c r="D173" s="9">
        <v>8.236568578196895</v>
      </c>
      <c r="E173" s="33">
        <v>8.236568578196895</v>
      </c>
    </row>
    <row r="174" spans="1:5" ht="12.75">
      <c r="A174" s="21"/>
      <c r="B174" s="23" t="s">
        <v>213</v>
      </c>
      <c r="C174" s="29">
        <v>2</v>
      </c>
      <c r="D174" s="9">
        <v>21.9835637505856</v>
      </c>
      <c r="E174" s="33">
        <v>0</v>
      </c>
    </row>
    <row r="175" spans="1:5" ht="12.75">
      <c r="A175" s="21"/>
      <c r="B175" s="23" t="s">
        <v>29</v>
      </c>
      <c r="C175" s="29">
        <v>2</v>
      </c>
      <c r="E175" s="33"/>
    </row>
    <row r="176" spans="1:5" ht="12.75">
      <c r="A176" s="21"/>
      <c r="B176" s="23" t="s">
        <v>31</v>
      </c>
      <c r="C176" s="29">
        <v>8.5</v>
      </c>
      <c r="D176" s="9">
        <v>125.63240001233322</v>
      </c>
      <c r="E176" s="33">
        <v>0</v>
      </c>
    </row>
    <row r="177" spans="1:5" ht="12.75">
      <c r="A177" s="21"/>
      <c r="B177" s="23" t="s">
        <v>32</v>
      </c>
      <c r="C177" s="29">
        <v>0.8</v>
      </c>
      <c r="D177" s="9">
        <v>9.104570248593719</v>
      </c>
      <c r="E177" s="33">
        <v>0</v>
      </c>
    </row>
    <row r="178" spans="1:5" ht="12.75">
      <c r="A178" s="21"/>
      <c r="B178" s="23" t="s">
        <v>33</v>
      </c>
      <c r="C178" s="29">
        <v>1</v>
      </c>
      <c r="D178" s="9">
        <v>12.008325649569839</v>
      </c>
      <c r="E178" s="33">
        <v>12.008325649569839</v>
      </c>
    </row>
    <row r="179" spans="1:5" ht="12.75">
      <c r="A179" s="21"/>
      <c r="B179" s="23" t="s">
        <v>251</v>
      </c>
      <c r="C179" s="29">
        <v>14</v>
      </c>
      <c r="D179" s="9">
        <v>118.7997649953758</v>
      </c>
      <c r="E179" s="33">
        <v>118.7997649953758</v>
      </c>
    </row>
    <row r="180" spans="1:5" ht="12.75">
      <c r="A180" s="21"/>
      <c r="B180" s="23" t="s">
        <v>149</v>
      </c>
      <c r="C180" s="29">
        <v>0.5</v>
      </c>
      <c r="D180" s="9">
        <v>2.6346722075587374</v>
      </c>
      <c r="E180" s="33">
        <v>0</v>
      </c>
    </row>
    <row r="181" spans="1:5" ht="12.75">
      <c r="A181" s="21"/>
      <c r="B181" s="23" t="s">
        <v>37</v>
      </c>
      <c r="C181" s="29">
        <v>6.17</v>
      </c>
      <c r="E181" s="33"/>
    </row>
    <row r="182" spans="1:5" ht="12.75">
      <c r="A182" s="21"/>
      <c r="B182" s="23" t="s">
        <v>52</v>
      </c>
      <c r="C182" s="29">
        <v>2.75</v>
      </c>
      <c r="E182" s="33"/>
    </row>
    <row r="183" spans="1:5" ht="12.75">
      <c r="A183" s="19" t="s">
        <v>282</v>
      </c>
      <c r="B183" s="20"/>
      <c r="C183" s="28">
        <v>187.8645462794918</v>
      </c>
      <c r="D183" s="36">
        <v>1269.397947543004</v>
      </c>
      <c r="E183" s="32">
        <v>1204.0929995035722</v>
      </c>
    </row>
    <row r="184" spans="1:5" ht="12.75">
      <c r="A184" s="24" t="s">
        <v>274</v>
      </c>
      <c r="B184" s="25"/>
      <c r="C184" s="30">
        <v>767.8451759667468</v>
      </c>
      <c r="D184" s="37">
        <v>4000.000000000002</v>
      </c>
      <c r="E184" s="34">
        <v>4000.0000000000023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3" sqref="A3"/>
    </sheetView>
  </sheetViews>
  <sheetFormatPr defaultColWidth="9.140625" defaultRowHeight="12.75"/>
  <cols>
    <col min="1" max="1" width="33.8515625" style="0" customWidth="1"/>
    <col min="2" max="2" width="16.140625" style="9" customWidth="1"/>
    <col min="3" max="3" width="10.00390625" style="0" customWidth="1"/>
    <col min="4" max="85" width="27.28125" style="0" bestFit="1" customWidth="1"/>
    <col min="86" max="86" width="12.00390625" style="0" bestFit="1" customWidth="1"/>
  </cols>
  <sheetData>
    <row r="1" spans="1:2" ht="12.75">
      <c r="A1" s="39" t="s">
        <v>290</v>
      </c>
      <c r="B1" s="40" t="s">
        <v>296</v>
      </c>
    </row>
    <row r="3" spans="1:2" ht="12.75">
      <c r="A3" s="22" t="s">
        <v>295</v>
      </c>
      <c r="B3" s="41"/>
    </row>
    <row r="4" spans="1:3" ht="12.75">
      <c r="A4" s="19"/>
      <c r="B4" s="38" t="s">
        <v>294</v>
      </c>
      <c r="C4" s="14" t="s">
        <v>297</v>
      </c>
    </row>
    <row r="5" spans="1:3" ht="12.75">
      <c r="A5" s="19" t="s">
        <v>73</v>
      </c>
      <c r="B5" s="41">
        <v>1237.8325042083839</v>
      </c>
      <c r="C5">
        <v>1</v>
      </c>
    </row>
    <row r="6" spans="1:3" ht="12.75">
      <c r="A6" s="23" t="s">
        <v>89</v>
      </c>
      <c r="B6" s="42">
        <v>725.9298978086416</v>
      </c>
      <c r="C6">
        <v>2</v>
      </c>
    </row>
    <row r="7" spans="1:3" ht="12.75">
      <c r="A7" s="23" t="s">
        <v>57</v>
      </c>
      <c r="B7" s="42">
        <v>253.75372016823863</v>
      </c>
      <c r="C7">
        <v>3</v>
      </c>
    </row>
    <row r="8" spans="1:3" ht="12.75">
      <c r="A8" s="23" t="s">
        <v>27</v>
      </c>
      <c r="B8" s="42">
        <v>240.4901980907973</v>
      </c>
      <c r="C8">
        <v>4</v>
      </c>
    </row>
    <row r="9" spans="1:3" ht="12.75">
      <c r="A9" s="23" t="s">
        <v>13</v>
      </c>
      <c r="B9" s="42">
        <v>216.9029970988503</v>
      </c>
      <c r="C9">
        <v>5</v>
      </c>
    </row>
    <row r="10" spans="1:3" ht="12.75">
      <c r="A10" s="23" t="s">
        <v>20</v>
      </c>
      <c r="B10" s="42">
        <v>193.7650037740694</v>
      </c>
      <c r="C10">
        <v>6</v>
      </c>
    </row>
    <row r="11" spans="1:3" ht="12.75">
      <c r="A11" s="23" t="s">
        <v>86</v>
      </c>
      <c r="B11" s="42">
        <v>170.9826577246242</v>
      </c>
      <c r="C11">
        <v>7</v>
      </c>
    </row>
    <row r="12" spans="1:3" ht="12.75">
      <c r="A12" s="23" t="s">
        <v>251</v>
      </c>
      <c r="B12" s="42">
        <v>118.7997649953758</v>
      </c>
      <c r="C12">
        <v>8</v>
      </c>
    </row>
    <row r="13" spans="1:3" ht="12.75">
      <c r="A13" s="23" t="s">
        <v>5</v>
      </c>
      <c r="B13" s="42">
        <v>106.40945760955157</v>
      </c>
      <c r="C13">
        <v>9</v>
      </c>
    </row>
    <row r="14" spans="1:3" ht="12.75">
      <c r="A14" s="23" t="s">
        <v>239</v>
      </c>
      <c r="B14" s="42">
        <v>85.5602268050634</v>
      </c>
      <c r="C14">
        <v>10</v>
      </c>
    </row>
    <row r="15" spans="1:2" ht="12.75">
      <c r="A15" s="23" t="s">
        <v>95</v>
      </c>
      <c r="B15" s="42">
        <v>57.88787018927216</v>
      </c>
    </row>
    <row r="16" spans="1:2" ht="12.75">
      <c r="A16" s="23" t="s">
        <v>75</v>
      </c>
      <c r="B16" s="42">
        <v>53.43225285637658</v>
      </c>
    </row>
    <row r="17" spans="1:2" ht="12.75">
      <c r="A17" s="23" t="s">
        <v>16</v>
      </c>
      <c r="B17" s="42">
        <v>44.41507374676752</v>
      </c>
    </row>
    <row r="18" spans="1:2" ht="12.75">
      <c r="A18" s="23" t="s">
        <v>98</v>
      </c>
      <c r="B18" s="42">
        <v>36.02739084424347</v>
      </c>
    </row>
    <row r="19" spans="1:2" ht="12.75">
      <c r="A19" s="23" t="s">
        <v>49</v>
      </c>
      <c r="B19" s="42">
        <v>32.85843265231421</v>
      </c>
    </row>
    <row r="20" spans="1:2" ht="12.75">
      <c r="A20" s="23" t="s">
        <v>97</v>
      </c>
      <c r="B20" s="42">
        <v>30.983556126049386</v>
      </c>
    </row>
    <row r="21" spans="1:2" ht="12.75">
      <c r="A21" s="23" t="s">
        <v>127</v>
      </c>
      <c r="B21" s="42">
        <v>30.10972594275852</v>
      </c>
    </row>
    <row r="22" spans="1:2" ht="12.75">
      <c r="A22" s="23" t="s">
        <v>107</v>
      </c>
      <c r="B22" s="42">
        <v>29.058329775188366</v>
      </c>
    </row>
    <row r="23" spans="1:2" ht="12.75">
      <c r="A23" s="23" t="s">
        <v>215</v>
      </c>
      <c r="B23" s="42">
        <v>28.101364858509907</v>
      </c>
    </row>
    <row r="24" spans="1:2" ht="12.75">
      <c r="A24" s="23" t="s">
        <v>109</v>
      </c>
      <c r="B24" s="42">
        <v>27.252937644413816</v>
      </c>
    </row>
    <row r="25" spans="1:2" ht="12.75">
      <c r="A25" s="23" t="s">
        <v>121</v>
      </c>
      <c r="B25" s="42">
        <v>22.324155817790068</v>
      </c>
    </row>
    <row r="26" spans="1:2" ht="12.75">
      <c r="A26" s="23" t="s">
        <v>55</v>
      </c>
      <c r="B26" s="42">
        <v>16.736342368738452</v>
      </c>
    </row>
    <row r="27" spans="1:2" ht="12.75">
      <c r="A27" s="23" t="s">
        <v>130</v>
      </c>
      <c r="B27" s="42">
        <v>13.465976882030759</v>
      </c>
    </row>
    <row r="28" spans="1:2" ht="12.75">
      <c r="A28" s="23" t="s">
        <v>96</v>
      </c>
      <c r="B28" s="42">
        <v>13.354580030905797</v>
      </c>
    </row>
    <row r="29" spans="1:2" ht="12.75">
      <c r="A29" s="23" t="s">
        <v>151</v>
      </c>
      <c r="B29" s="42">
        <v>13.331535734636947</v>
      </c>
    </row>
    <row r="30" spans="1:2" ht="12.75">
      <c r="A30" s="23" t="s">
        <v>110</v>
      </c>
      <c r="B30" s="42">
        <v>13.2941159241043</v>
      </c>
    </row>
    <row r="31" spans="1:2" ht="12.75">
      <c r="A31" s="23" t="s">
        <v>33</v>
      </c>
      <c r="B31" s="42">
        <v>12.008325649569839</v>
      </c>
    </row>
    <row r="32" spans="1:2" ht="12.75">
      <c r="A32" s="23" t="s">
        <v>24</v>
      </c>
      <c r="B32" s="42">
        <v>11.720669765107147</v>
      </c>
    </row>
    <row r="33" spans="1:2" ht="12.75">
      <c r="A33" s="23" t="s">
        <v>99</v>
      </c>
      <c r="B33" s="42">
        <v>11.677331202255369</v>
      </c>
    </row>
    <row r="34" spans="1:2" ht="12.75">
      <c r="A34" s="23" t="s">
        <v>247</v>
      </c>
      <c r="B34" s="42">
        <v>11.645214238261998</v>
      </c>
    </row>
    <row r="35" spans="1:2" ht="12.75">
      <c r="A35" s="23" t="s">
        <v>93</v>
      </c>
      <c r="B35" s="42">
        <v>11.506235378507684</v>
      </c>
    </row>
    <row r="36" spans="1:2" ht="12.75">
      <c r="A36" s="23" t="s">
        <v>146</v>
      </c>
      <c r="B36" s="42">
        <v>11.386236688074817</v>
      </c>
    </row>
    <row r="37" spans="1:2" ht="12.75">
      <c r="A37" s="23" t="s">
        <v>144</v>
      </c>
      <c r="B37" s="42">
        <v>10.65372793910007</v>
      </c>
    </row>
    <row r="38" spans="1:2" ht="12.75">
      <c r="A38" s="23" t="s">
        <v>54</v>
      </c>
      <c r="B38" s="42">
        <v>10.096721544640493</v>
      </c>
    </row>
    <row r="39" spans="1:2" ht="12.75">
      <c r="A39" s="23" t="s">
        <v>119</v>
      </c>
      <c r="B39" s="42">
        <v>9.5806262093045</v>
      </c>
    </row>
    <row r="40" spans="1:2" ht="12.75">
      <c r="A40" s="24" t="s">
        <v>274</v>
      </c>
      <c r="B40" s="40">
        <v>3913.3351582925193</v>
      </c>
    </row>
    <row r="41" ht="12.75">
      <c r="B4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182"/>
  <sheetViews>
    <sheetView zoomScalePageLayoutView="0" workbookViewId="0" topLeftCell="A1">
      <pane ySplit="1" topLeftCell="A39" activePane="bottomLeft" state="frozen"/>
      <selection pane="topLeft" activeCell="A1" sqref="A1"/>
      <selection pane="bottomLeft" activeCell="A1" sqref="A1:I176"/>
    </sheetView>
  </sheetViews>
  <sheetFormatPr defaultColWidth="9.140625" defaultRowHeight="12.75"/>
  <cols>
    <col min="1" max="1" width="25.140625" style="0" customWidth="1"/>
    <col min="2" max="2" width="15.140625" style="0" customWidth="1"/>
    <col min="8" max="8" width="10.28125" style="0" customWidth="1"/>
    <col min="9" max="9" width="19.140625" style="0" customWidth="1"/>
  </cols>
  <sheetData>
    <row r="1" spans="1:10" ht="12.75">
      <c r="A1" s="1" t="s">
        <v>0</v>
      </c>
      <c r="B1" s="13" t="s">
        <v>207</v>
      </c>
      <c r="C1" s="1" t="s">
        <v>53</v>
      </c>
      <c r="D1" s="1" t="s">
        <v>1</v>
      </c>
      <c r="E1" s="13" t="s">
        <v>221</v>
      </c>
      <c r="F1" s="13" t="s">
        <v>278</v>
      </c>
      <c r="G1" s="13" t="s">
        <v>288</v>
      </c>
      <c r="H1" s="13" t="s">
        <v>289</v>
      </c>
      <c r="I1" s="13" t="s">
        <v>290</v>
      </c>
      <c r="J1" s="13"/>
    </row>
    <row r="2" spans="1:10" ht="12.75">
      <c r="A2" s="6" t="s">
        <v>64</v>
      </c>
      <c r="B2" s="13" t="s">
        <v>208</v>
      </c>
      <c r="C2" s="4"/>
      <c r="D2" s="4">
        <f>D$57</f>
        <v>597</v>
      </c>
      <c r="E2" s="4">
        <f>472*(700/666)</f>
        <v>496.0960960960961</v>
      </c>
      <c r="F2" s="2">
        <v>1</v>
      </c>
      <c r="G2" s="1">
        <f>E2*F2/1000</f>
        <v>0.4960960960960961</v>
      </c>
      <c r="H2" s="1">
        <f aca="true" t="shared" si="0" ref="H2:H9">G2*H$178/G$178</f>
        <v>5.189271320036772</v>
      </c>
      <c r="I2" s="6" t="s">
        <v>61</v>
      </c>
      <c r="J2" s="9"/>
    </row>
    <row r="3" spans="1:10" ht="12.75">
      <c r="A3" s="6" t="s">
        <v>65</v>
      </c>
      <c r="B3" s="13" t="s">
        <v>208</v>
      </c>
      <c r="C3" s="4"/>
      <c r="D3" s="4"/>
      <c r="E3" s="4"/>
      <c r="F3" s="2">
        <v>1.5</v>
      </c>
      <c r="G3" s="1">
        <f>E2*F3/1000</f>
        <v>0.7441441441441442</v>
      </c>
      <c r="H3" s="1">
        <f t="shared" si="0"/>
        <v>7.783906980055158</v>
      </c>
      <c r="I3" s="6" t="s">
        <v>66</v>
      </c>
      <c r="J3" s="9"/>
    </row>
    <row r="4" spans="1:10" ht="12.75">
      <c r="A4" s="1" t="s">
        <v>2</v>
      </c>
      <c r="B4" s="13" t="s">
        <v>210</v>
      </c>
      <c r="C4" s="4">
        <v>548</v>
      </c>
      <c r="D4" s="4">
        <f>C4*41074/30481</f>
        <v>738.4453265968964</v>
      </c>
      <c r="E4" s="4">
        <f>601*(727/934)</f>
        <v>467.8019271948608</v>
      </c>
      <c r="F4" s="2">
        <v>0.2</v>
      </c>
      <c r="G4" s="1">
        <f>E4*F4/1000</f>
        <v>0.09356038543897216</v>
      </c>
      <c r="H4" s="1">
        <f t="shared" si="0"/>
        <v>0.9786616517861061</v>
      </c>
      <c r="I4" s="6" t="s">
        <v>62</v>
      </c>
      <c r="J4" s="9"/>
    </row>
    <row r="5" spans="1:10" ht="12.75">
      <c r="A5" s="1" t="s">
        <v>3</v>
      </c>
      <c r="B5" s="13" t="s">
        <v>209</v>
      </c>
      <c r="C5" s="4"/>
      <c r="D5" s="4">
        <v>600</v>
      </c>
      <c r="E5" s="4">
        <f>766</f>
        <v>766</v>
      </c>
      <c r="F5" s="2">
        <v>2.25</v>
      </c>
      <c r="G5" s="1">
        <f>E5*F5/1000</f>
        <v>1.7235</v>
      </c>
      <c r="H5" s="1">
        <f t="shared" si="0"/>
        <v>18.02817879532545</v>
      </c>
      <c r="I5" s="6" t="s">
        <v>62</v>
      </c>
      <c r="J5" s="9"/>
    </row>
    <row r="6" spans="1:10" ht="12.75">
      <c r="A6" s="13" t="s">
        <v>204</v>
      </c>
      <c r="B6" s="13" t="s">
        <v>209</v>
      </c>
      <c r="C6" s="4"/>
      <c r="D6" s="4">
        <f>D$106</f>
        <v>498</v>
      </c>
      <c r="E6" s="4">
        <v>360</v>
      </c>
      <c r="F6" s="2">
        <v>0.49</v>
      </c>
      <c r="G6" s="1">
        <f>E6*F6/1000</f>
        <v>0.1764</v>
      </c>
      <c r="H6" s="1">
        <f t="shared" si="0"/>
        <v>1.8451817461534141</v>
      </c>
      <c r="I6" s="1">
        <f>H6</f>
        <v>1.8451817461534141</v>
      </c>
      <c r="J6" s="9"/>
    </row>
    <row r="7" spans="1:10" ht="12.75">
      <c r="A7" s="13" t="s">
        <v>212</v>
      </c>
      <c r="B7" s="13" t="s">
        <v>209</v>
      </c>
      <c r="C7" s="4"/>
      <c r="D7" s="4">
        <f>D$106</f>
        <v>498</v>
      </c>
      <c r="E7" s="4">
        <v>360</v>
      </c>
      <c r="F7" s="2">
        <f>3/15*8.5*(0.27/4.6)</f>
        <v>0.0997826086956522</v>
      </c>
      <c r="G7" s="1">
        <f>E7*F7/1000</f>
        <v>0.035921739130434796</v>
      </c>
      <c r="H7" s="1">
        <f t="shared" si="0"/>
        <v>0.3757490778546661</v>
      </c>
      <c r="I7" s="1">
        <f>H7</f>
        <v>0.3757490778546661</v>
      </c>
      <c r="J7" s="9"/>
    </row>
    <row r="8" spans="1:10" ht="12.75">
      <c r="A8" s="13" t="s">
        <v>182</v>
      </c>
      <c r="B8" s="13" t="s">
        <v>208</v>
      </c>
      <c r="C8" s="4"/>
      <c r="D8" s="4">
        <f>C$135*1.441</f>
        <v>795.432</v>
      </c>
      <c r="E8" s="4">
        <f>378*(600/638)</f>
        <v>355.4858934169279</v>
      </c>
      <c r="F8" s="2">
        <v>0.25</v>
      </c>
      <c r="G8" s="1">
        <f>E8*F8/1000</f>
        <v>0.08887147335423198</v>
      </c>
      <c r="H8" s="1">
        <f t="shared" si="0"/>
        <v>0.9296146280441518</v>
      </c>
      <c r="I8" s="6" t="s">
        <v>62</v>
      </c>
      <c r="J8" s="9"/>
    </row>
    <row r="9" spans="1:9" ht="12.75">
      <c r="A9" s="1" t="s">
        <v>4</v>
      </c>
      <c r="B9" s="13" t="s">
        <v>210</v>
      </c>
      <c r="C9" s="4">
        <v>837</v>
      </c>
      <c r="D9" s="4">
        <v>1212</v>
      </c>
      <c r="E9" s="4"/>
      <c r="F9" s="2">
        <v>2.5</v>
      </c>
      <c r="G9" s="1">
        <f>D9*F9/1000</f>
        <v>3.03</v>
      </c>
      <c r="H9" s="1">
        <f t="shared" si="0"/>
        <v>31.69444836079844</v>
      </c>
      <c r="I9" s="6" t="s">
        <v>68</v>
      </c>
    </row>
    <row r="10" spans="1:9" ht="12.75">
      <c r="A10" s="6" t="s">
        <v>5</v>
      </c>
      <c r="B10" s="13" t="s">
        <v>210</v>
      </c>
      <c r="C10" s="4"/>
      <c r="D10" s="4"/>
      <c r="E10" s="4"/>
      <c r="F10" s="2">
        <v>8</v>
      </c>
      <c r="G10" s="1"/>
      <c r="I10" s="1">
        <f>H9+H32+H54+H122+H170+H171</f>
        <v>106.40945760955157</v>
      </c>
    </row>
    <row r="11" spans="1:9" ht="12.75">
      <c r="A11" s="13" t="s">
        <v>174</v>
      </c>
      <c r="B11" s="13" t="s">
        <v>208</v>
      </c>
      <c r="C11" s="4"/>
      <c r="D11" s="4">
        <f>C$135*1.441</f>
        <v>795.432</v>
      </c>
      <c r="E11" s="4">
        <f>477*552/675</f>
        <v>390.08</v>
      </c>
      <c r="F11" s="2">
        <v>0.5</v>
      </c>
      <c r="G11" s="1">
        <f>E11*F11/1000</f>
        <v>0.19504</v>
      </c>
      <c r="H11" s="1">
        <f>G11*H$178/G$178</f>
        <v>2.040160134749217</v>
      </c>
      <c r="I11" s="6" t="s">
        <v>62</v>
      </c>
    </row>
    <row r="12" spans="1:9" ht="12.75">
      <c r="A12" s="6" t="s">
        <v>6</v>
      </c>
      <c r="B12" s="13" t="s">
        <v>211</v>
      </c>
      <c r="C12" s="4"/>
      <c r="D12" s="4">
        <f>D$15</f>
        <v>585.1668908500377</v>
      </c>
      <c r="E12" s="4">
        <f>1018*438/663</f>
        <v>672.5248868778281</v>
      </c>
      <c r="F12" s="2">
        <v>0.04</v>
      </c>
      <c r="G12" s="1">
        <f>E12*F12/1000</f>
        <v>0.026900995475113123</v>
      </c>
      <c r="H12" s="1">
        <f>G12*H$178/G$178</f>
        <v>0.2813901689571107</v>
      </c>
      <c r="I12" s="6" t="s">
        <v>72</v>
      </c>
    </row>
    <row r="13" spans="1:9" ht="12.75">
      <c r="A13" s="6" t="s">
        <v>76</v>
      </c>
      <c r="B13" s="13" t="s">
        <v>210</v>
      </c>
      <c r="C13" s="4">
        <v>976</v>
      </c>
      <c r="D13" s="4">
        <v>1360</v>
      </c>
      <c r="E13" s="4"/>
      <c r="F13" s="2">
        <v>2</v>
      </c>
      <c r="G13" s="1">
        <f>D13*F13/1000</f>
        <v>2.72</v>
      </c>
      <c r="H13" s="1">
        <f>G13*H$178/G$178</f>
        <v>28.451782026855366</v>
      </c>
      <c r="I13" s="6" t="s">
        <v>78</v>
      </c>
    </row>
    <row r="14" spans="1:9" ht="12.75">
      <c r="A14" s="13" t="s">
        <v>229</v>
      </c>
      <c r="B14" s="13" t="s">
        <v>211</v>
      </c>
      <c r="C14" s="4"/>
      <c r="D14" s="4"/>
      <c r="E14" s="4">
        <f>695*438/663</f>
        <v>459.14027149321265</v>
      </c>
      <c r="F14" s="2">
        <v>0.7</v>
      </c>
      <c r="G14" s="1">
        <f>E14*F14/1000</f>
        <v>0.32139819004524883</v>
      </c>
      <c r="H14" s="1"/>
      <c r="I14" s="6" t="s">
        <v>72</v>
      </c>
    </row>
    <row r="15" spans="1:9" ht="12.75">
      <c r="A15" s="6" t="s">
        <v>71</v>
      </c>
      <c r="B15" s="13" t="s">
        <v>211</v>
      </c>
      <c r="C15" s="4">
        <v>428</v>
      </c>
      <c r="D15" s="4">
        <f>C15*41674/30481</f>
        <v>585.1668908500377</v>
      </c>
      <c r="E15" s="4">
        <f>509*428/615</f>
        <v>354.2308943089431</v>
      </c>
      <c r="F15" s="2">
        <v>0.1</v>
      </c>
      <c r="G15" s="1">
        <f>E15*F15/1000</f>
        <v>0.03542308943089432</v>
      </c>
      <c r="H15" s="1">
        <f aca="true" t="shared" si="1" ref="H15:H23">G15*H$178/G$178</f>
        <v>0.37053309529617984</v>
      </c>
      <c r="I15" s="1">
        <f>H15</f>
        <v>0.37053309529617984</v>
      </c>
    </row>
    <row r="16" spans="1:9" ht="12.75">
      <c r="A16" s="1" t="s">
        <v>7</v>
      </c>
      <c r="B16" s="13" t="s">
        <v>210</v>
      </c>
      <c r="C16" s="4">
        <v>548</v>
      </c>
      <c r="D16" s="4">
        <f>C16*41074/30481</f>
        <v>738.4453265968964</v>
      </c>
      <c r="E16" s="4">
        <f>636*548/670</f>
        <v>520.1910447761194</v>
      </c>
      <c r="F16" s="2">
        <v>1.25</v>
      </c>
      <c r="G16" s="1">
        <f>E16*F16/1000</f>
        <v>0.6502388059701492</v>
      </c>
      <c r="H16" s="1">
        <f t="shared" si="1"/>
        <v>6.801637048847568</v>
      </c>
      <c r="I16" s="6" t="s">
        <v>62</v>
      </c>
    </row>
    <row r="17" spans="1:10" ht="12.75">
      <c r="A17" s="13" t="s">
        <v>121</v>
      </c>
      <c r="B17" s="13" t="s">
        <v>208</v>
      </c>
      <c r="C17" s="4"/>
      <c r="D17" s="4">
        <f>D$57</f>
        <v>597</v>
      </c>
      <c r="E17" s="4">
        <f>569*597/573</f>
        <v>592.8324607329843</v>
      </c>
      <c r="F17" s="2">
        <v>3.6</v>
      </c>
      <c r="G17" s="1">
        <f>E17*F17/1000</f>
        <v>2.1341968586387434</v>
      </c>
      <c r="H17" s="1">
        <f t="shared" si="1"/>
        <v>22.324155817790068</v>
      </c>
      <c r="I17" s="1">
        <f>H17</f>
        <v>22.324155817790068</v>
      </c>
      <c r="J17" t="s">
        <v>216</v>
      </c>
    </row>
    <row r="18" spans="1:9" ht="12.75">
      <c r="A18" s="13" t="s">
        <v>122</v>
      </c>
      <c r="B18" s="13" t="s">
        <v>208</v>
      </c>
      <c r="C18" s="4"/>
      <c r="D18" s="4">
        <f>D$57</f>
        <v>597</v>
      </c>
      <c r="E18" s="4">
        <f>(654+E17)/2</f>
        <v>623.4162303664921</v>
      </c>
      <c r="F18" s="2">
        <f>(1/14.667)*4.5+(1.35/28.93)*23/225*130</f>
        <v>0.9269287338966536</v>
      </c>
      <c r="G18" s="1">
        <f>E18*F18/1000</f>
        <v>0.577862417104237</v>
      </c>
      <c r="H18" s="1">
        <f t="shared" si="1"/>
        <v>6.044564534177033</v>
      </c>
      <c r="I18" s="1">
        <f>H18</f>
        <v>6.044564534177033</v>
      </c>
    </row>
    <row r="19" spans="1:9" ht="12.75">
      <c r="A19" s="13" t="s">
        <v>151</v>
      </c>
      <c r="B19" s="13" t="s">
        <v>208</v>
      </c>
      <c r="C19" s="4"/>
      <c r="D19" s="4">
        <f>D$57</f>
        <v>597</v>
      </c>
      <c r="E19" s="4">
        <f>708</f>
        <v>708</v>
      </c>
      <c r="F19" s="2">
        <v>1.7</v>
      </c>
      <c r="G19" s="1">
        <f>E19*F19/1000-G20</f>
        <v>1.0734397297297298</v>
      </c>
      <c r="H19" s="1">
        <f t="shared" si="1"/>
        <v>11.228409268101768</v>
      </c>
      <c r="I19" s="6">
        <f>H19+H167</f>
        <v>13.331535734636947</v>
      </c>
    </row>
    <row r="20" spans="1:9" ht="12.75">
      <c r="A20" s="13" t="s">
        <v>261</v>
      </c>
      <c r="B20" s="13" t="s">
        <v>208</v>
      </c>
      <c r="C20" s="4"/>
      <c r="D20" s="4"/>
      <c r="E20" s="4">
        <v>497</v>
      </c>
      <c r="F20" s="2">
        <f>(0.36+0.21)/3.7*F19</f>
        <v>0.2618918918918918</v>
      </c>
      <c r="G20" s="1">
        <f>E20*F20/1000</f>
        <v>0.13016027027027025</v>
      </c>
      <c r="H20" s="1">
        <f t="shared" si="1"/>
        <v>1.3615042787817322</v>
      </c>
      <c r="I20" s="13" t="s">
        <v>262</v>
      </c>
    </row>
    <row r="21" spans="1:9" ht="12.75">
      <c r="A21" s="13" t="s">
        <v>250</v>
      </c>
      <c r="B21" s="13" t="s">
        <v>210</v>
      </c>
      <c r="C21" s="4"/>
      <c r="D21" s="4">
        <f>D138</f>
        <v>1413</v>
      </c>
      <c r="E21" s="4"/>
      <c r="F21" s="2">
        <v>0.05</v>
      </c>
      <c r="G21" s="1">
        <f>D21*F21/1000</f>
        <v>0.07065</v>
      </c>
      <c r="H21" s="1">
        <f t="shared" si="1"/>
        <v>0.7390141177196072</v>
      </c>
      <c r="I21" s="6" t="s">
        <v>78</v>
      </c>
    </row>
    <row r="22" spans="1:9" ht="12.75">
      <c r="A22" s="13" t="s">
        <v>197</v>
      </c>
      <c r="B22" s="13" t="s">
        <v>209</v>
      </c>
      <c r="C22" s="4"/>
      <c r="D22" s="4">
        <f>D$106</f>
        <v>498</v>
      </c>
      <c r="E22" s="4">
        <v>401</v>
      </c>
      <c r="F22" s="2">
        <f>3.5*(0.67/5.3)</f>
        <v>0.44245283018867926</v>
      </c>
      <c r="G22" s="1">
        <f>E22*F22/1000</f>
        <v>0.1774235849056604</v>
      </c>
      <c r="H22" s="1">
        <f t="shared" si="1"/>
        <v>1.8558886632937923</v>
      </c>
      <c r="I22" s="6">
        <f>H22+H23</f>
        <v>4.492437037302466</v>
      </c>
    </row>
    <row r="23" spans="1:9" ht="12.75">
      <c r="A23" s="13" t="s">
        <v>199</v>
      </c>
      <c r="B23" s="13" t="s">
        <v>209</v>
      </c>
      <c r="C23" s="4"/>
      <c r="D23" s="4">
        <f>D$106</f>
        <v>498</v>
      </c>
      <c r="E23" s="4">
        <v>576</v>
      </c>
      <c r="F23" s="2">
        <f>1.118/19.928*14*(19.5/35)</f>
        <v>0.43759534323564836</v>
      </c>
      <c r="G23" s="1">
        <f>E23*F23/1000</f>
        <v>0.25205491770373345</v>
      </c>
      <c r="H23" s="1">
        <f t="shared" si="1"/>
        <v>2.6365483740086733</v>
      </c>
      <c r="I23" s="6"/>
    </row>
    <row r="24" spans="1:9" ht="12.75">
      <c r="A24" s="13" t="s">
        <v>228</v>
      </c>
      <c r="B24" s="13" t="s">
        <v>211</v>
      </c>
      <c r="C24" s="4"/>
      <c r="D24" s="4">
        <f>D$15</f>
        <v>585.1668908500377</v>
      </c>
      <c r="E24" s="4">
        <f>702*438/663</f>
        <v>463.7647058823529</v>
      </c>
      <c r="F24" s="2">
        <v>0.5</v>
      </c>
      <c r="G24" s="1">
        <f>E24*F24/1000</f>
        <v>0.23188235294117646</v>
      </c>
      <c r="H24" s="1"/>
      <c r="I24" s="6" t="s">
        <v>72</v>
      </c>
    </row>
    <row r="25" spans="1:9" ht="12.75">
      <c r="A25" s="6" t="s">
        <v>73</v>
      </c>
      <c r="B25" s="13" t="s">
        <v>208</v>
      </c>
      <c r="C25" s="4">
        <v>600</v>
      </c>
      <c r="D25" s="4">
        <v>1208</v>
      </c>
      <c r="E25" s="15">
        <f>940*41674/49655</f>
        <v>788.9147115094149</v>
      </c>
      <c r="F25" s="2">
        <v>150</v>
      </c>
      <c r="G25" s="1">
        <f>E25*F25/1000</f>
        <v>118.33720672641225</v>
      </c>
      <c r="H25" s="1">
        <f>G25*H$178/G$178</f>
        <v>1237.8325042083839</v>
      </c>
      <c r="I25" s="1">
        <f>H25</f>
        <v>1237.8325042083839</v>
      </c>
    </row>
    <row r="26" spans="1:9" ht="12.75">
      <c r="A26" s="13" t="s">
        <v>163</v>
      </c>
      <c r="B26" s="13" t="s">
        <v>208</v>
      </c>
      <c r="C26" s="4"/>
      <c r="D26" s="4">
        <f>D$57</f>
        <v>597</v>
      </c>
      <c r="E26" s="4"/>
      <c r="F26" s="2">
        <v>0.5</v>
      </c>
      <c r="G26" s="1">
        <f>D26*F26/1000</f>
        <v>0.2985</v>
      </c>
      <c r="H26" s="1">
        <f>G26*H$178/G$178</f>
        <v>3.122373873167767</v>
      </c>
      <c r="I26" s="1">
        <f>H26</f>
        <v>3.122373873167767</v>
      </c>
    </row>
    <row r="27" spans="1:9" ht="12.75">
      <c r="A27" s="13" t="s">
        <v>203</v>
      </c>
      <c r="B27" s="13" t="s">
        <v>209</v>
      </c>
      <c r="C27" s="4"/>
      <c r="D27" s="4">
        <f>D$106</f>
        <v>498</v>
      </c>
      <c r="E27" s="4">
        <v>394</v>
      </c>
      <c r="F27" s="2">
        <f>8/15*8.5*0.1/2</f>
        <v>0.22666666666666668</v>
      </c>
      <c r="G27" s="1">
        <f aca="true" t="shared" si="2" ref="G27:G33">E27*F27/1000</f>
        <v>0.08930666666666667</v>
      </c>
      <c r="H27" s="1">
        <f>G27*H$178/G$178</f>
        <v>0.9341668432150846</v>
      </c>
      <c r="I27" s="1">
        <f>H27</f>
        <v>0.9341668432150846</v>
      </c>
    </row>
    <row r="28" spans="1:9" ht="12.75">
      <c r="A28" s="13" t="s">
        <v>227</v>
      </c>
      <c r="B28" s="13" t="s">
        <v>211</v>
      </c>
      <c r="C28" s="4"/>
      <c r="D28" s="4">
        <f>D$15</f>
        <v>585.1668908500377</v>
      </c>
      <c r="E28" s="4">
        <f>523*438/663</f>
        <v>345.5113122171946</v>
      </c>
      <c r="F28" s="2">
        <v>0.7</v>
      </c>
      <c r="G28" s="1">
        <f t="shared" si="2"/>
        <v>0.24185791855203617</v>
      </c>
      <c r="H28" s="1"/>
      <c r="I28" s="6" t="s">
        <v>72</v>
      </c>
    </row>
    <row r="29" spans="1:9" ht="12.75">
      <c r="A29" s="6" t="s">
        <v>74</v>
      </c>
      <c r="B29" s="13" t="s">
        <v>211</v>
      </c>
      <c r="C29" s="4"/>
      <c r="D29" s="4">
        <f>D$15</f>
        <v>585.1668908500377</v>
      </c>
      <c r="E29" s="4">
        <f>AVERAGE(683,AVERAGE(804,584,727))*438/663</f>
        <v>458.4796380090498</v>
      </c>
      <c r="F29" s="2">
        <f>0.6-F117</f>
        <v>0.5733333333333334</v>
      </c>
      <c r="G29" s="1">
        <f t="shared" si="2"/>
        <v>0.26286165912518855</v>
      </c>
      <c r="H29" s="1">
        <f>G29*H$178/G$178</f>
        <v>2.749589201708611</v>
      </c>
      <c r="I29" s="6" t="s">
        <v>72</v>
      </c>
    </row>
    <row r="30" spans="1:9" ht="12.75">
      <c r="A30" s="1" t="s">
        <v>8</v>
      </c>
      <c r="B30" s="13" t="s">
        <v>211</v>
      </c>
      <c r="C30" s="4"/>
      <c r="D30" s="4">
        <f>D$15</f>
        <v>585.1668908500377</v>
      </c>
      <c r="E30" s="4">
        <f>1124*438/663</f>
        <v>742.552036199095</v>
      </c>
      <c r="F30" s="2">
        <v>0.03</v>
      </c>
      <c r="G30" s="1">
        <f t="shared" si="2"/>
        <v>0.02227656108597285</v>
      </c>
      <c r="H30" s="1">
        <f>G30*H$178/G$178</f>
        <v>0.23301759570809855</v>
      </c>
      <c r="I30" s="6" t="s">
        <v>72</v>
      </c>
    </row>
    <row r="31" spans="1:9" ht="12.75">
      <c r="A31" s="5" t="s">
        <v>46</v>
      </c>
      <c r="B31" s="5" t="s">
        <v>208</v>
      </c>
      <c r="C31" s="4"/>
      <c r="D31" s="4">
        <f>D153</f>
        <v>670</v>
      </c>
      <c r="E31" s="4">
        <f>687*600/636</f>
        <v>648.1132075471698</v>
      </c>
      <c r="F31" s="2">
        <v>0.12</v>
      </c>
      <c r="G31" s="1">
        <f t="shared" si="2"/>
        <v>0.07777358490566039</v>
      </c>
      <c r="H31" s="1">
        <f>G31*H$178/G$178</f>
        <v>0.8135283401408007</v>
      </c>
      <c r="I31" s="6" t="s">
        <v>62</v>
      </c>
    </row>
    <row r="32" spans="1:9" ht="12.75">
      <c r="A32" s="1" t="s">
        <v>9</v>
      </c>
      <c r="B32" s="13" t="s">
        <v>210</v>
      </c>
      <c r="C32" s="4">
        <v>548</v>
      </c>
      <c r="D32" s="4">
        <f>C32*41074/30481</f>
        <v>738.4453265968964</v>
      </c>
      <c r="E32" s="4">
        <f>AVERAGE(1623,1198)*548/670</f>
        <v>1153.6626865671642</v>
      </c>
      <c r="F32" s="2">
        <v>4.5</v>
      </c>
      <c r="G32" s="1">
        <f t="shared" si="2"/>
        <v>5.191482089552239</v>
      </c>
      <c r="H32" s="1">
        <f>G32*H$178/G$178</f>
        <v>54.30401353244997</v>
      </c>
      <c r="I32" s="6" t="s">
        <v>68</v>
      </c>
    </row>
    <row r="33" spans="1:9" ht="12.75">
      <c r="A33" s="1" t="s">
        <v>10</v>
      </c>
      <c r="B33" s="13" t="s">
        <v>210</v>
      </c>
      <c r="C33" s="4">
        <v>875</v>
      </c>
      <c r="D33" s="4">
        <f>C33*41074/30481</f>
        <v>1179.0869722121977</v>
      </c>
      <c r="E33" s="4">
        <f>1343*875/1235</f>
        <v>951.5182186234817</v>
      </c>
      <c r="F33" s="10">
        <f>0.7+0.2</f>
        <v>0.8999999999999999</v>
      </c>
      <c r="G33" s="1">
        <f t="shared" si="2"/>
        <v>0.8563663967611335</v>
      </c>
      <c r="H33" s="1">
        <f>G33*H$178/G$178</f>
        <v>8.957775755798275</v>
      </c>
      <c r="I33" s="5" t="s">
        <v>128</v>
      </c>
    </row>
    <row r="34" spans="1:9" ht="12.75">
      <c r="A34" s="5" t="s">
        <v>130</v>
      </c>
      <c r="B34" s="5" t="s">
        <v>210</v>
      </c>
      <c r="C34" s="4"/>
      <c r="D34" s="4"/>
      <c r="E34" s="4"/>
      <c r="F34" s="2"/>
      <c r="G34" s="1"/>
      <c r="H34" s="1"/>
      <c r="I34" s="1">
        <f>H33+H56+H112</f>
        <v>13.465976882030759</v>
      </c>
    </row>
    <row r="35" spans="1:9" ht="12.75">
      <c r="A35" s="13" t="s">
        <v>231</v>
      </c>
      <c r="B35" s="13" t="s">
        <v>211</v>
      </c>
      <c r="C35" s="4"/>
      <c r="D35" s="4">
        <f>D$15</f>
        <v>585.1668908500377</v>
      </c>
      <c r="E35" s="4">
        <f>426*438/663</f>
        <v>281.42986425339365</v>
      </c>
      <c r="F35" s="10">
        <f>0.07</f>
        <v>0.07</v>
      </c>
      <c r="G35" s="1">
        <f>E35*F35/1000</f>
        <v>0.019700090497737556</v>
      </c>
      <c r="H35" s="1">
        <f>G35*H$178/G$178</f>
        <v>0.20606716204079176</v>
      </c>
      <c r="I35" s="6" t="s">
        <v>72</v>
      </c>
    </row>
    <row r="36" spans="1:9" ht="12.75">
      <c r="A36" s="13" t="s">
        <v>230</v>
      </c>
      <c r="B36" s="13" t="s">
        <v>211</v>
      </c>
      <c r="C36" s="4"/>
      <c r="D36" s="4">
        <f>D$15</f>
        <v>585.1668908500377</v>
      </c>
      <c r="E36" s="4">
        <f>504*438/663</f>
        <v>332.95927601809956</v>
      </c>
      <c r="F36" s="10">
        <v>0.03</v>
      </c>
      <c r="G36" s="1">
        <f>E36*F36/1000</f>
        <v>0.009988778280542987</v>
      </c>
      <c r="H36" s="1">
        <f>G36*H$178/G$178</f>
        <v>0.10448475821786624</v>
      </c>
      <c r="I36" s="6" t="s">
        <v>72</v>
      </c>
    </row>
    <row r="37" spans="1:9" ht="12.75">
      <c r="A37" s="13" t="s">
        <v>226</v>
      </c>
      <c r="B37" s="13" t="s">
        <v>211</v>
      </c>
      <c r="C37" s="4"/>
      <c r="D37" s="4">
        <f>D$15</f>
        <v>585.1668908500377</v>
      </c>
      <c r="E37" s="4">
        <f>1085*438/663</f>
        <v>716.7873303167421</v>
      </c>
      <c r="F37" s="2">
        <v>0.5</v>
      </c>
      <c r="G37" s="1">
        <f>E37*F37/1000</f>
        <v>0.35839366515837107</v>
      </c>
      <c r="H37" s="1"/>
      <c r="I37" s="6" t="s">
        <v>72</v>
      </c>
    </row>
    <row r="38" spans="1:9" ht="12.75">
      <c r="A38" s="1" t="s">
        <v>11</v>
      </c>
      <c r="B38" s="13" t="s">
        <v>209</v>
      </c>
      <c r="C38" s="4">
        <v>475</v>
      </c>
      <c r="D38" s="4">
        <v>749</v>
      </c>
      <c r="E38" s="4"/>
      <c r="F38" s="2">
        <v>5</v>
      </c>
      <c r="G38" s="1">
        <f>D38*F38/1000</f>
        <v>3.745</v>
      </c>
      <c r="H38" s="1">
        <f aca="true" t="shared" si="3" ref="H38:H45">G38*H$178/G$178</f>
        <v>39.17350135682844</v>
      </c>
      <c r="I38" s="6" t="s">
        <v>62</v>
      </c>
    </row>
    <row r="39" spans="1:9" ht="12.75">
      <c r="A39" s="6" t="s">
        <v>148</v>
      </c>
      <c r="B39" s="13" t="s">
        <v>210</v>
      </c>
      <c r="C39" s="4"/>
      <c r="D39" s="4">
        <f>D$42</f>
        <v>724.9700469144713</v>
      </c>
      <c r="E39" s="4">
        <f>764*538/757</f>
        <v>542.9749009247028</v>
      </c>
      <c r="F39" s="10">
        <f>0.26/2</f>
        <v>0.13</v>
      </c>
      <c r="G39" s="1">
        <f>E39*F39/1000</f>
        <v>0.07058673712021135</v>
      </c>
      <c r="H39" s="1">
        <f t="shared" si="3"/>
        <v>0.7383523744599978</v>
      </c>
      <c r="I39" s="6" t="s">
        <v>77</v>
      </c>
    </row>
    <row r="40" spans="1:10" ht="12.75">
      <c r="A40" s="6" t="s">
        <v>51</v>
      </c>
      <c r="B40" s="13" t="s">
        <v>209</v>
      </c>
      <c r="C40" s="4"/>
      <c r="D40" s="4">
        <f>D$106</f>
        <v>498</v>
      </c>
      <c r="E40" s="4">
        <v>619</v>
      </c>
      <c r="F40" s="16">
        <f>2.25</f>
        <v>2.25</v>
      </c>
      <c r="G40" s="1">
        <f>E40*F40/1000/2</f>
        <v>0.696375</v>
      </c>
      <c r="H40" s="1">
        <f t="shared" si="3"/>
        <v>7.284231510643899</v>
      </c>
      <c r="I40" s="1">
        <f>H40</f>
        <v>7.284231510643899</v>
      </c>
      <c r="J40" s="13" t="s">
        <v>194</v>
      </c>
    </row>
    <row r="41" spans="1:10" ht="12.75">
      <c r="A41" s="13" t="s">
        <v>193</v>
      </c>
      <c r="B41" s="13" t="s">
        <v>209</v>
      </c>
      <c r="C41" s="4"/>
      <c r="D41" s="4">
        <f>D$106</f>
        <v>498</v>
      </c>
      <c r="E41" s="4">
        <v>584</v>
      </c>
      <c r="F41" s="2">
        <f>0.1*2.25</f>
        <v>0.225</v>
      </c>
      <c r="G41" s="1">
        <f>E41*F41/1000</f>
        <v>0.13140000000000002</v>
      </c>
      <c r="H41" s="1">
        <f t="shared" si="3"/>
        <v>1.3744721170326453</v>
      </c>
      <c r="I41" s="6" t="s">
        <v>62</v>
      </c>
      <c r="J41" s="6"/>
    </row>
    <row r="42" spans="1:9" ht="12.75">
      <c r="A42" s="1" t="s">
        <v>12</v>
      </c>
      <c r="B42" s="13" t="s">
        <v>210</v>
      </c>
      <c r="C42" s="4">
        <v>538</v>
      </c>
      <c r="D42" s="4">
        <f>C42*41074/30481</f>
        <v>724.9700469144713</v>
      </c>
      <c r="E42" s="4">
        <f>1038*538/757</f>
        <v>737.7067371202114</v>
      </c>
      <c r="F42" s="2">
        <v>0.2</v>
      </c>
      <c r="G42" s="1">
        <f>E42*F42/1000</f>
        <v>0.1475413474240423</v>
      </c>
      <c r="H42" s="1">
        <f t="shared" si="3"/>
        <v>1.5433140650210992</v>
      </c>
      <c r="I42" s="6" t="s">
        <v>77</v>
      </c>
    </row>
    <row r="43" spans="1:9" ht="12.75">
      <c r="A43" s="1" t="s">
        <v>13</v>
      </c>
      <c r="B43" s="13" t="s">
        <v>210</v>
      </c>
      <c r="C43" s="4">
        <v>841</v>
      </c>
      <c r="D43" s="4">
        <v>1296</v>
      </c>
      <c r="E43" s="4"/>
      <c r="F43" s="2">
        <f>16</f>
        <v>16</v>
      </c>
      <c r="G43" s="1">
        <f>D43*F43/1000</f>
        <v>20.736</v>
      </c>
      <c r="H43" s="1">
        <f t="shared" si="3"/>
        <v>216.9029970988503</v>
      </c>
      <c r="I43" s="1">
        <f>H43</f>
        <v>216.9029970988503</v>
      </c>
    </row>
    <row r="44" spans="1:9" ht="12.75">
      <c r="A44" s="5" t="s">
        <v>56</v>
      </c>
      <c r="B44" s="5" t="s">
        <v>210</v>
      </c>
      <c r="C44" s="4"/>
      <c r="D44" s="4"/>
      <c r="E44" s="4"/>
      <c r="F44" s="2">
        <v>0.5</v>
      </c>
      <c r="G44" s="1">
        <f>D43*F44/1000</f>
        <v>0.648</v>
      </c>
      <c r="H44" s="1">
        <f t="shared" si="3"/>
        <v>6.778218659339072</v>
      </c>
      <c r="I44" s="6" t="s">
        <v>78</v>
      </c>
    </row>
    <row r="45" spans="1:9" ht="12.75">
      <c r="A45" s="6" t="s">
        <v>67</v>
      </c>
      <c r="B45" s="13" t="s">
        <v>208</v>
      </c>
      <c r="C45" s="4"/>
      <c r="D45" s="4">
        <f>D$135</f>
        <v>743.8354384698665</v>
      </c>
      <c r="E45" s="4">
        <f>422*552/675</f>
        <v>345.1022222222222</v>
      </c>
      <c r="F45" s="1">
        <v>0.5</v>
      </c>
      <c r="G45" s="1">
        <f>E45*F45/1000</f>
        <v>0.1725511111111111</v>
      </c>
      <c r="H45" s="1">
        <f t="shared" si="3"/>
        <v>1.8049215447886156</v>
      </c>
      <c r="I45" s="5" t="s">
        <v>62</v>
      </c>
    </row>
    <row r="46" spans="1:8" ht="12.75">
      <c r="A46" s="6" t="s">
        <v>80</v>
      </c>
      <c r="B46" s="13" t="s">
        <v>210</v>
      </c>
      <c r="C46" s="4">
        <v>791</v>
      </c>
      <c r="D46" s="4">
        <v>1187</v>
      </c>
      <c r="E46" s="4"/>
      <c r="F46" s="1">
        <v>12</v>
      </c>
      <c r="G46" s="1"/>
      <c r="H46" s="1"/>
    </row>
    <row r="47" spans="1:9" ht="12.75">
      <c r="A47" s="13" t="s">
        <v>86</v>
      </c>
      <c r="B47" s="13" t="s">
        <v>210</v>
      </c>
      <c r="C47" s="4"/>
      <c r="D47" s="4"/>
      <c r="E47" s="4"/>
      <c r="F47" s="1">
        <v>12</v>
      </c>
      <c r="G47" s="1">
        <f>D46*F47/1000</f>
        <v>14.244</v>
      </c>
      <c r="H47" s="1">
        <f>G47*H$178/G$178</f>
        <v>148.99528793769406</v>
      </c>
      <c r="I47" s="9">
        <f>SUM(H47:H49)</f>
        <v>170.9826577246242</v>
      </c>
    </row>
    <row r="48" spans="1:9" ht="12.75">
      <c r="A48" s="13" t="s">
        <v>272</v>
      </c>
      <c r="B48" s="13" t="s">
        <v>210</v>
      </c>
      <c r="C48" s="4"/>
      <c r="D48" s="4">
        <v>1454</v>
      </c>
      <c r="E48" s="4"/>
      <c r="F48" s="1">
        <v>1</v>
      </c>
      <c r="G48" s="1">
        <f>D48*F48/1000</f>
        <v>1.454</v>
      </c>
      <c r="H48" s="1">
        <f>G48*H$178/G$178</f>
        <v>15.209151127591067</v>
      </c>
      <c r="I48" s="9"/>
    </row>
    <row r="49" spans="1:9" ht="12.75">
      <c r="A49" s="13" t="s">
        <v>271</v>
      </c>
      <c r="B49" s="13" t="s">
        <v>210</v>
      </c>
      <c r="C49" s="4"/>
      <c r="D49" s="4">
        <v>1296</v>
      </c>
      <c r="E49" s="4"/>
      <c r="F49" s="1">
        <v>0.5</v>
      </c>
      <c r="G49" s="1">
        <f>D49*F49/1000</f>
        <v>0.648</v>
      </c>
      <c r="H49" s="1">
        <f>G49*H$178/G$178</f>
        <v>6.778218659339072</v>
      </c>
      <c r="I49" s="9"/>
    </row>
    <row r="50" spans="1:8" ht="12.75">
      <c r="A50" s="6" t="s">
        <v>79</v>
      </c>
      <c r="B50" s="13" t="s">
        <v>210</v>
      </c>
      <c r="C50" s="4"/>
      <c r="D50" s="4"/>
      <c r="E50" s="4"/>
      <c r="F50" s="1">
        <v>20</v>
      </c>
      <c r="G50" s="1"/>
      <c r="H50" s="1"/>
    </row>
    <row r="51" spans="1:9" ht="12.75">
      <c r="A51" s="6" t="s">
        <v>90</v>
      </c>
      <c r="B51" s="13" t="s">
        <v>210</v>
      </c>
      <c r="C51" s="4">
        <v>483</v>
      </c>
      <c r="D51" s="4">
        <v>727</v>
      </c>
      <c r="E51" s="4"/>
      <c r="F51" s="10">
        <f>1.5-F52</f>
        <v>1.35</v>
      </c>
      <c r="G51" s="1">
        <f>D51*F51/1000</f>
        <v>0.98145</v>
      </c>
      <c r="H51" s="1">
        <f>G51*H$178/G$178</f>
        <v>10.26617701112397</v>
      </c>
      <c r="I51" s="5" t="s">
        <v>62</v>
      </c>
    </row>
    <row r="52" spans="1:9" ht="12.75">
      <c r="A52" s="6" t="s">
        <v>91</v>
      </c>
      <c r="B52" s="13" t="s">
        <v>210</v>
      </c>
      <c r="C52" s="4"/>
      <c r="D52" s="4"/>
      <c r="E52" s="4"/>
      <c r="F52" s="2">
        <v>0.15</v>
      </c>
      <c r="G52" s="1">
        <f>D51*F52/1000</f>
        <v>0.10905</v>
      </c>
      <c r="H52" s="1">
        <f>G52*H$178/G$178</f>
        <v>1.1406863345693299</v>
      </c>
      <c r="I52" s="6" t="s">
        <v>92</v>
      </c>
    </row>
    <row r="53" spans="1:9" ht="12.75">
      <c r="A53" s="1" t="s">
        <v>14</v>
      </c>
      <c r="B53" s="13" t="s">
        <v>210</v>
      </c>
      <c r="C53" s="4">
        <v>548</v>
      </c>
      <c r="D53" s="4">
        <f>C53*41074/30481</f>
        <v>738.4453265968964</v>
      </c>
      <c r="E53" s="4">
        <f>1391*548/670</f>
        <v>1137.7134328358209</v>
      </c>
      <c r="F53" s="2">
        <v>1.25</v>
      </c>
      <c r="G53" s="1"/>
      <c r="H53" s="1"/>
      <c r="I53" s="1"/>
    </row>
    <row r="54" spans="1:9" ht="12.75">
      <c r="A54" s="6" t="s">
        <v>69</v>
      </c>
      <c r="B54" s="13" t="s">
        <v>210</v>
      </c>
      <c r="C54" s="4"/>
      <c r="D54" s="4"/>
      <c r="E54" s="4"/>
      <c r="F54" s="2">
        <v>0.25</v>
      </c>
      <c r="G54" s="1">
        <f>E53*F54/1000</f>
        <v>0.28442835820895523</v>
      </c>
      <c r="H54" s="1">
        <f>G54*H$178/G$178</f>
        <v>2.9751814889770336</v>
      </c>
      <c r="I54" s="6" t="s">
        <v>68</v>
      </c>
    </row>
    <row r="55" spans="1:9" ht="12.75">
      <c r="A55" s="6" t="s">
        <v>70</v>
      </c>
      <c r="B55" s="13" t="s">
        <v>210</v>
      </c>
      <c r="C55" s="4"/>
      <c r="D55" s="4"/>
      <c r="E55" s="4"/>
      <c r="F55" s="2">
        <v>1</v>
      </c>
      <c r="G55" s="1">
        <f>E53*F55/1000</f>
        <v>1.137713432835821</v>
      </c>
      <c r="H55" s="1">
        <f>G55*H$178/G$178</f>
        <v>11.900725955908134</v>
      </c>
      <c r="I55" s="6" t="s">
        <v>62</v>
      </c>
    </row>
    <row r="56" spans="1:9" ht="12.75">
      <c r="A56" s="6" t="s">
        <v>129</v>
      </c>
      <c r="B56" s="13" t="s">
        <v>210</v>
      </c>
      <c r="C56" s="4"/>
      <c r="D56" s="4">
        <f>D$42</f>
        <v>724.9700469144713</v>
      </c>
      <c r="E56" s="4">
        <f>802*698/929</f>
        <v>602.5791173304629</v>
      </c>
      <c r="F56" s="2">
        <v>0.05</v>
      </c>
      <c r="G56" s="1">
        <f>E56*F56/1000</f>
        <v>0.030128955866523144</v>
      </c>
      <c r="H56" s="1">
        <f>G56*H$178/G$178</f>
        <v>0.31515532537171387</v>
      </c>
      <c r="I56" s="5" t="s">
        <v>128</v>
      </c>
    </row>
    <row r="57" spans="1:9" ht="12.75">
      <c r="A57" s="1" t="s">
        <v>15</v>
      </c>
      <c r="B57" s="13" t="s">
        <v>208</v>
      </c>
      <c r="C57" s="4">
        <v>550</v>
      </c>
      <c r="D57" s="4">
        <v>597</v>
      </c>
      <c r="E57" s="4"/>
      <c r="F57" s="2">
        <v>130</v>
      </c>
      <c r="H57" s="1"/>
      <c r="I57" s="1"/>
    </row>
    <row r="58" spans="1:9" ht="12.75">
      <c r="A58" s="6" t="s">
        <v>89</v>
      </c>
      <c r="B58" s="13" t="s">
        <v>208</v>
      </c>
      <c r="C58" s="4"/>
      <c r="D58" s="4"/>
      <c r="E58" s="4"/>
      <c r="F58" s="2">
        <v>115</v>
      </c>
      <c r="G58" s="1">
        <f>D57*F58/1000</f>
        <v>68.655</v>
      </c>
      <c r="H58" s="1">
        <f>G58*H$178/G$178</f>
        <v>718.1459908285865</v>
      </c>
      <c r="I58" s="1">
        <f>H3+H58</f>
        <v>725.9298978086416</v>
      </c>
    </row>
    <row r="59" spans="1:10" ht="12.75">
      <c r="A59" s="6" t="s">
        <v>88</v>
      </c>
      <c r="B59" s="13" t="s">
        <v>208</v>
      </c>
      <c r="C59" s="4"/>
      <c r="D59" s="4"/>
      <c r="E59" s="4"/>
      <c r="F59" s="2">
        <f>F57-(F58-F3)</f>
        <v>16.5</v>
      </c>
      <c r="G59" s="1">
        <f>D57*F59/1000</f>
        <v>9.8505</v>
      </c>
      <c r="H59" s="1">
        <f>G59*H$178/G$178</f>
        <v>103.03833781453632</v>
      </c>
      <c r="I59" s="1"/>
      <c r="J59">
        <f>SUM(J60:J64)</f>
        <v>143</v>
      </c>
    </row>
    <row r="60" spans="1:10" ht="12.75">
      <c r="A60" s="13" t="s">
        <v>102</v>
      </c>
      <c r="B60" s="13" t="s">
        <v>208</v>
      </c>
      <c r="C60" s="4"/>
      <c r="D60" s="4"/>
      <c r="E60" s="4"/>
      <c r="F60" s="2"/>
      <c r="G60" s="1"/>
      <c r="H60" s="1"/>
      <c r="I60" s="1">
        <f>H$59*J60/143</f>
        <v>7.2054781688486935</v>
      </c>
      <c r="J60">
        <v>10</v>
      </c>
    </row>
    <row r="61" spans="1:10" ht="12.75">
      <c r="A61" s="6" t="s">
        <v>103</v>
      </c>
      <c r="B61" s="13" t="s">
        <v>208</v>
      </c>
      <c r="I61" s="1">
        <f>H$59*J61/143</f>
        <v>0.7205478168848694</v>
      </c>
      <c r="J61">
        <v>1</v>
      </c>
    </row>
    <row r="62" spans="1:10" ht="12.75">
      <c r="A62" s="13" t="s">
        <v>97</v>
      </c>
      <c r="B62" s="13" t="s">
        <v>208</v>
      </c>
      <c r="C62" s="4"/>
      <c r="D62" s="4"/>
      <c r="E62" s="4"/>
      <c r="F62" s="2"/>
      <c r="G62" s="1"/>
      <c r="H62" s="1"/>
      <c r="I62" s="1">
        <f>H$59*J62/143</f>
        <v>30.983556126049386</v>
      </c>
      <c r="J62">
        <v>43</v>
      </c>
    </row>
    <row r="63" spans="1:10" ht="12.75">
      <c r="A63" s="13" t="s">
        <v>215</v>
      </c>
      <c r="B63" s="13" t="s">
        <v>208</v>
      </c>
      <c r="C63" s="4"/>
      <c r="D63" s="4"/>
      <c r="E63" s="4"/>
      <c r="F63" s="2"/>
      <c r="G63" s="1"/>
      <c r="H63" s="1"/>
      <c r="I63" s="1">
        <f>H$59*J63/143</f>
        <v>28.101364858509907</v>
      </c>
      <c r="J63">
        <v>39</v>
      </c>
    </row>
    <row r="64" spans="1:10" ht="12.75">
      <c r="A64" s="13" t="s">
        <v>98</v>
      </c>
      <c r="B64" s="13" t="s">
        <v>208</v>
      </c>
      <c r="C64" s="4"/>
      <c r="D64" s="4"/>
      <c r="E64" s="4"/>
      <c r="F64" s="2"/>
      <c r="G64" s="1"/>
      <c r="H64" s="1"/>
      <c r="I64" s="1">
        <f>H$59*J64/143</f>
        <v>36.02739084424347</v>
      </c>
      <c r="J64">
        <v>50</v>
      </c>
    </row>
    <row r="65" spans="1:9" ht="12.75">
      <c r="A65" s="6" t="s">
        <v>48</v>
      </c>
      <c r="B65" s="13" t="s">
        <v>208</v>
      </c>
      <c r="C65" s="4"/>
      <c r="D65" s="4">
        <f>D$57</f>
        <v>597</v>
      </c>
      <c r="E65" s="4">
        <f>514*580/607</f>
        <v>491.1367380560132</v>
      </c>
      <c r="F65" s="2">
        <v>11.7</v>
      </c>
      <c r="G65" s="1"/>
      <c r="H65" s="1"/>
      <c r="I65" s="1"/>
    </row>
    <row r="66" spans="1:10" ht="12.75">
      <c r="A66" s="6" t="s">
        <v>101</v>
      </c>
      <c r="B66" s="13" t="s">
        <v>208</v>
      </c>
      <c r="C66" s="4"/>
      <c r="D66" s="4"/>
      <c r="E66" s="4"/>
      <c r="F66" s="2">
        <f>F65/60+(1.9/2/60)*F65</f>
        <v>0.38025</v>
      </c>
      <c r="G66" s="1">
        <f>E$65*F66/1000</f>
        <v>0.186754744645799</v>
      </c>
      <c r="H66" s="1">
        <f aca="true" t="shared" si="4" ref="H66:H74">G66*H$178/G$178</f>
        <v>1.9534945908615102</v>
      </c>
      <c r="I66" s="9">
        <f>H66</f>
        <v>1.9534945908615102</v>
      </c>
      <c r="J66" s="5" t="s">
        <v>249</v>
      </c>
    </row>
    <row r="67" spans="1:10" ht="12.75">
      <c r="A67" s="13" t="s">
        <v>245</v>
      </c>
      <c r="B67" s="13" t="s">
        <v>208</v>
      </c>
      <c r="C67" s="4"/>
      <c r="D67" s="4"/>
      <c r="E67" s="4"/>
      <c r="F67" s="2">
        <f>0.3/60.7*F65</f>
        <v>0.05782537067545304</v>
      </c>
      <c r="G67" s="1">
        <f>E$65*F67/1000</f>
        <v>0.028400163930421846</v>
      </c>
      <c r="H67" s="1">
        <f t="shared" si="4"/>
        <v>0.2970717917923979</v>
      </c>
      <c r="I67" s="9" t="s">
        <v>246</v>
      </c>
      <c r="J67" s="5"/>
    </row>
    <row r="68" spans="1:10" ht="12.75">
      <c r="A68" s="13" t="s">
        <v>247</v>
      </c>
      <c r="B68" s="13" t="s">
        <v>208</v>
      </c>
      <c r="C68" s="4"/>
      <c r="D68" s="4"/>
      <c r="E68" s="4"/>
      <c r="F68" s="2">
        <f>11.4/60.7*F65</f>
        <v>2.197364085667216</v>
      </c>
      <c r="G68" s="1">
        <f>E$65*F68/1000</f>
        <v>1.0792062293560303</v>
      </c>
      <c r="H68" s="1">
        <f t="shared" si="4"/>
        <v>11.288728088111121</v>
      </c>
      <c r="I68" s="9">
        <f>H68+H69</f>
        <v>11.645214238261998</v>
      </c>
      <c r="J68" s="5"/>
    </row>
    <row r="69" spans="1:10" ht="12.75">
      <c r="A69" s="13" t="s">
        <v>248</v>
      </c>
      <c r="B69" s="13" t="s">
        <v>208</v>
      </c>
      <c r="C69" s="4"/>
      <c r="D69" s="4"/>
      <c r="E69" s="4"/>
      <c r="F69" s="2">
        <f>0.36/60.7*F65</f>
        <v>0.06939044481054366</v>
      </c>
      <c r="G69" s="1">
        <f>E$65*F69/1000</f>
        <v>0.03408019671650622</v>
      </c>
      <c r="H69" s="1">
        <f t="shared" si="4"/>
        <v>0.3564861501508776</v>
      </c>
      <c r="I69" s="9"/>
      <c r="J69" s="5"/>
    </row>
    <row r="70" spans="1:10" ht="12.75">
      <c r="A70" s="13" t="s">
        <v>99</v>
      </c>
      <c r="B70" s="13" t="s">
        <v>208</v>
      </c>
      <c r="C70" s="4"/>
      <c r="D70" s="4"/>
      <c r="E70" s="4"/>
      <c r="F70" s="2">
        <f>F65*(9.5/16.3)/3</f>
        <v>2.2730061349693247</v>
      </c>
      <c r="G70" s="1">
        <f>E$65*F70/1000</f>
        <v>1.1163568187101403</v>
      </c>
      <c r="H70" s="1">
        <f t="shared" si="4"/>
        <v>11.677331202255369</v>
      </c>
      <c r="I70" s="9">
        <f>H70</f>
        <v>11.677331202255369</v>
      </c>
      <c r="J70" s="5" t="s">
        <v>100</v>
      </c>
    </row>
    <row r="71" spans="1:9" ht="12.75">
      <c r="A71" s="1" t="s">
        <v>16</v>
      </c>
      <c r="B71" s="13" t="s">
        <v>208</v>
      </c>
      <c r="C71" s="4">
        <v>600</v>
      </c>
      <c r="D71" s="4">
        <f>C71*41074/30481</f>
        <v>808.5167809455071</v>
      </c>
      <c r="E71" s="4">
        <f>750</f>
        <v>750</v>
      </c>
      <c r="F71" s="2">
        <v>5</v>
      </c>
      <c r="G71" s="1">
        <f>E71*F71/1000</f>
        <v>3.75</v>
      </c>
      <c r="H71" s="1">
        <f t="shared" si="4"/>
        <v>39.225802426730745</v>
      </c>
      <c r="I71" s="1">
        <f>H71+H2</f>
        <v>44.41507374676752</v>
      </c>
    </row>
    <row r="72" spans="1:9" ht="12.75">
      <c r="A72" s="1" t="s">
        <v>17</v>
      </c>
      <c r="B72" s="13" t="s">
        <v>208</v>
      </c>
      <c r="C72" s="4">
        <v>550</v>
      </c>
      <c r="D72" s="4">
        <f>C72*41074/30481</f>
        <v>741.1403825333814</v>
      </c>
      <c r="E72" s="4">
        <f>700*550/582</f>
        <v>661.512027491409</v>
      </c>
      <c r="F72" s="2">
        <v>1.25</v>
      </c>
      <c r="G72" s="1">
        <f>E72*F72/1000</f>
        <v>0.8268900343642611</v>
      </c>
      <c r="H72" s="1">
        <f t="shared" si="4"/>
        <v>8.64944669776136</v>
      </c>
      <c r="I72" s="6" t="s">
        <v>62</v>
      </c>
    </row>
    <row r="73" spans="1:10" ht="12.75">
      <c r="A73" s="6" t="s">
        <v>93</v>
      </c>
      <c r="B73" s="13" t="s">
        <v>210</v>
      </c>
      <c r="C73" s="4">
        <v>615</v>
      </c>
      <c r="D73" s="4">
        <v>880</v>
      </c>
      <c r="E73" s="4"/>
      <c r="F73" s="2">
        <v>1.25</v>
      </c>
      <c r="G73" s="1">
        <f>D73*F73/1000</f>
        <v>1.1</v>
      </c>
      <c r="H73" s="1">
        <f t="shared" si="4"/>
        <v>11.506235378507684</v>
      </c>
      <c r="I73" s="1">
        <f>H73</f>
        <v>11.506235378507684</v>
      </c>
      <c r="J73" s="5" t="s">
        <v>105</v>
      </c>
    </row>
    <row r="74" spans="1:9" ht="12.75">
      <c r="A74" s="1" t="s">
        <v>18</v>
      </c>
      <c r="B74" s="13" t="s">
        <v>208</v>
      </c>
      <c r="C74" s="4"/>
      <c r="D74" s="4">
        <f>D$153</f>
        <v>670</v>
      </c>
      <c r="E74" s="4">
        <f>883*591/604</f>
        <v>863.9950331125827</v>
      </c>
      <c r="F74" s="2">
        <v>0.3</v>
      </c>
      <c r="G74" s="1">
        <f>E74*F74/1000</f>
        <v>0.2591985099337748</v>
      </c>
      <c r="H74" s="1">
        <f t="shared" si="4"/>
        <v>2.7112718773240685</v>
      </c>
      <c r="I74" s="6" t="s">
        <v>62</v>
      </c>
    </row>
    <row r="75" spans="1:9" ht="12.75">
      <c r="A75" s="1" t="s">
        <v>19</v>
      </c>
      <c r="B75" s="13" t="s">
        <v>210</v>
      </c>
      <c r="C75" s="4">
        <v>1100</v>
      </c>
      <c r="D75" s="4">
        <v>1280</v>
      </c>
      <c r="E75" s="4"/>
      <c r="F75" s="2">
        <v>12</v>
      </c>
      <c r="G75" s="1"/>
      <c r="H75" s="1"/>
      <c r="I75" s="1"/>
    </row>
    <row r="76" spans="1:9" ht="12.75">
      <c r="A76" s="5" t="s">
        <v>55</v>
      </c>
      <c r="B76" s="5" t="s">
        <v>210</v>
      </c>
      <c r="C76" s="4"/>
      <c r="D76" s="4"/>
      <c r="E76" s="4"/>
      <c r="F76" s="2">
        <v>1.25</v>
      </c>
      <c r="G76" s="1">
        <f>D$75*F76/1000</f>
        <v>1.6</v>
      </c>
      <c r="H76" s="1">
        <f>G76*H$178/G$178</f>
        <v>16.736342368738452</v>
      </c>
      <c r="I76" s="1">
        <f>H76</f>
        <v>16.736342368738452</v>
      </c>
    </row>
    <row r="77" spans="1:9" ht="12.75">
      <c r="A77" s="5" t="s">
        <v>114</v>
      </c>
      <c r="B77" s="5" t="s">
        <v>210</v>
      </c>
      <c r="C77" s="4"/>
      <c r="D77" s="4"/>
      <c r="E77" s="4"/>
      <c r="F77" s="2">
        <v>7</v>
      </c>
      <c r="G77" s="1"/>
      <c r="H77" s="1"/>
      <c r="I77" s="1"/>
    </row>
    <row r="78" spans="1:10" ht="12.75">
      <c r="A78" s="5" t="s">
        <v>111</v>
      </c>
      <c r="B78" s="5" t="s">
        <v>210</v>
      </c>
      <c r="C78" s="4"/>
      <c r="D78" s="4"/>
      <c r="E78" s="4"/>
      <c r="F78" s="2">
        <f>F$77*J78/J$85</f>
        <v>1.1914893617021276</v>
      </c>
      <c r="G78" s="1">
        <f aca="true" t="shared" si="5" ref="G78:G84">D$75*F78/1000</f>
        <v>1.5251063829787233</v>
      </c>
      <c r="H78" s="1">
        <f aca="true" t="shared" si="6" ref="H78:H84">G78*H$178/G$178</f>
        <v>15.952939108925161</v>
      </c>
      <c r="I78" s="6" t="s">
        <v>78</v>
      </c>
      <c r="J78">
        <v>24</v>
      </c>
    </row>
    <row r="79" spans="1:10" ht="12.75">
      <c r="A79" s="5" t="s">
        <v>106</v>
      </c>
      <c r="B79" s="5" t="s">
        <v>210</v>
      </c>
      <c r="C79" s="4"/>
      <c r="D79" s="4"/>
      <c r="E79" s="4"/>
      <c r="F79" s="2">
        <f>F$77*J79/J$85</f>
        <v>0.3971631205673759</v>
      </c>
      <c r="G79" s="1">
        <f t="shared" si="5"/>
        <v>0.5083687943262412</v>
      </c>
      <c r="H79" s="1">
        <f t="shared" si="6"/>
        <v>5.317646369641721</v>
      </c>
      <c r="I79" s="1">
        <f>H79+H80</f>
        <v>6.656553759140797</v>
      </c>
      <c r="J79">
        <v>8</v>
      </c>
    </row>
    <row r="80" spans="1:9" ht="12.75">
      <c r="A80" s="5" t="s">
        <v>117</v>
      </c>
      <c r="B80" s="5" t="s">
        <v>210</v>
      </c>
      <c r="C80" s="4"/>
      <c r="D80" s="4"/>
      <c r="E80" s="4"/>
      <c r="F80" s="2">
        <v>0.1</v>
      </c>
      <c r="G80" s="1">
        <f t="shared" si="5"/>
        <v>0.128</v>
      </c>
      <c r="H80" s="1">
        <f t="shared" si="6"/>
        <v>1.338907389499076</v>
      </c>
      <c r="I80" s="5" t="s">
        <v>118</v>
      </c>
    </row>
    <row r="81" spans="1:10" ht="12.75">
      <c r="A81" s="5" t="s">
        <v>108</v>
      </c>
      <c r="B81" s="5" t="s">
        <v>210</v>
      </c>
      <c r="C81" s="4"/>
      <c r="D81" s="4"/>
      <c r="E81" s="4"/>
      <c r="F81" s="2">
        <f>F$77*J81/J$85</f>
        <v>0.2978723404255319</v>
      </c>
      <c r="G81" s="1">
        <f t="shared" si="5"/>
        <v>0.3812765957446808</v>
      </c>
      <c r="H81" s="1">
        <f t="shared" si="6"/>
        <v>3.9882347772312903</v>
      </c>
      <c r="I81" s="1">
        <f>H81</f>
        <v>3.9882347772312903</v>
      </c>
      <c r="J81">
        <v>6</v>
      </c>
    </row>
    <row r="82" spans="1:10" ht="12.75">
      <c r="A82" s="6" t="s">
        <v>107</v>
      </c>
      <c r="B82" s="13" t="s">
        <v>210</v>
      </c>
      <c r="C82" s="4"/>
      <c r="D82" s="4"/>
      <c r="E82" s="4"/>
      <c r="F82" s="2">
        <f>F$77*J82/J$85</f>
        <v>2.0851063829787235</v>
      </c>
      <c r="G82" s="1">
        <f t="shared" si="5"/>
        <v>2.668936170212766</v>
      </c>
      <c r="H82" s="1">
        <f t="shared" si="6"/>
        <v>27.917643440619035</v>
      </c>
      <c r="I82" s="1">
        <f>H52+H82</f>
        <v>29.058329775188366</v>
      </c>
      <c r="J82">
        <v>42</v>
      </c>
    </row>
    <row r="83" spans="1:10" ht="12.75">
      <c r="A83" s="5" t="s">
        <v>110</v>
      </c>
      <c r="B83" s="5" t="s">
        <v>210</v>
      </c>
      <c r="C83" s="4"/>
      <c r="D83" s="4"/>
      <c r="E83" s="4"/>
      <c r="F83" s="2">
        <f>F$77*J83/J$85</f>
        <v>0.9929078014184397</v>
      </c>
      <c r="G83" s="1">
        <f t="shared" si="5"/>
        <v>1.2709219858156027</v>
      </c>
      <c r="H83" s="1">
        <f t="shared" si="6"/>
        <v>13.2941159241043</v>
      </c>
      <c r="I83" s="1">
        <f>H83</f>
        <v>13.2941159241043</v>
      </c>
      <c r="J83">
        <v>20</v>
      </c>
    </row>
    <row r="84" spans="1:10" ht="12.75">
      <c r="A84" s="5" t="s">
        <v>109</v>
      </c>
      <c r="B84" s="5" t="s">
        <v>210</v>
      </c>
      <c r="C84" s="4"/>
      <c r="D84" s="4"/>
      <c r="E84" s="4"/>
      <c r="F84" s="2">
        <f>F$77*J84/J$85</f>
        <v>2.0354609929078014</v>
      </c>
      <c r="G84" s="1">
        <f t="shared" si="5"/>
        <v>2.6053900709219855</v>
      </c>
      <c r="H84" s="1">
        <f t="shared" si="6"/>
        <v>27.252937644413816</v>
      </c>
      <c r="I84" s="1">
        <f>H84</f>
        <v>27.252937644413816</v>
      </c>
      <c r="J84">
        <v>41</v>
      </c>
    </row>
    <row r="85" spans="1:10" ht="12.75">
      <c r="A85" s="5" t="s">
        <v>116</v>
      </c>
      <c r="B85" s="5" t="s">
        <v>210</v>
      </c>
      <c r="C85" s="4"/>
      <c r="D85" s="4"/>
      <c r="E85" s="4"/>
      <c r="F85" s="2"/>
      <c r="G85" s="1"/>
      <c r="H85" s="1"/>
      <c r="I85" s="1"/>
      <c r="J85">
        <f>SUM(J78:J84)</f>
        <v>141</v>
      </c>
    </row>
    <row r="86" spans="1:9" ht="12.75">
      <c r="A86" s="5" t="s">
        <v>115</v>
      </c>
      <c r="B86" s="5" t="s">
        <v>210</v>
      </c>
      <c r="C86" s="4"/>
      <c r="D86" s="4"/>
      <c r="E86" s="4"/>
      <c r="F86" s="2">
        <v>0.5</v>
      </c>
      <c r="G86" s="1">
        <f>D$75*F86/1000</f>
        <v>0.64</v>
      </c>
      <c r="H86" s="1">
        <f aca="true" t="shared" si="7" ref="H86:H92">G86*H$178/G$178</f>
        <v>6.69453694749538</v>
      </c>
      <c r="I86" s="6" t="s">
        <v>78</v>
      </c>
    </row>
    <row r="87" spans="1:9" ht="12.75">
      <c r="A87" s="6" t="s">
        <v>112</v>
      </c>
      <c r="B87" s="13" t="s">
        <v>210</v>
      </c>
      <c r="C87" s="4"/>
      <c r="D87" s="4"/>
      <c r="E87" s="4"/>
      <c r="F87" s="2">
        <v>2.5</v>
      </c>
      <c r="G87" s="1">
        <f>D$75*F87/1000</f>
        <v>3.2</v>
      </c>
      <c r="H87" s="1">
        <f t="shared" si="7"/>
        <v>33.472684737476904</v>
      </c>
      <c r="I87" s="6" t="s">
        <v>78</v>
      </c>
    </row>
    <row r="88" spans="1:9" ht="12.75">
      <c r="A88" s="6" t="s">
        <v>113</v>
      </c>
      <c r="B88" s="13" t="s">
        <v>210</v>
      </c>
      <c r="C88" s="4"/>
      <c r="D88" s="4"/>
      <c r="E88" s="4"/>
      <c r="F88" s="2">
        <v>1</v>
      </c>
      <c r="G88" s="1">
        <f>D$75*F88/1000</f>
        <v>1.28</v>
      </c>
      <c r="H88" s="1">
        <f t="shared" si="7"/>
        <v>13.38907389499076</v>
      </c>
      <c r="I88" s="6" t="s">
        <v>78</v>
      </c>
    </row>
    <row r="89" spans="1:9" ht="12.75">
      <c r="A89" s="1" t="s">
        <v>20</v>
      </c>
      <c r="B89" s="13" t="s">
        <v>208</v>
      </c>
      <c r="C89" s="4">
        <v>520</v>
      </c>
      <c r="D89" s="4">
        <v>842</v>
      </c>
      <c r="E89" s="4"/>
      <c r="F89" s="2">
        <v>22</v>
      </c>
      <c r="G89" s="1">
        <f>D89*F89/1000</f>
        <v>18.524</v>
      </c>
      <c r="H89" s="1">
        <f t="shared" si="7"/>
        <v>193.7650037740694</v>
      </c>
      <c r="I89" s="1">
        <f>H89</f>
        <v>193.7650037740694</v>
      </c>
    </row>
    <row r="90" spans="1:9" ht="12.75">
      <c r="A90" s="1" t="s">
        <v>21</v>
      </c>
      <c r="B90" s="13" t="s">
        <v>208</v>
      </c>
      <c r="C90" s="4"/>
      <c r="D90" s="4">
        <f>D$153</f>
        <v>670</v>
      </c>
      <c r="E90" s="4">
        <f>529*591/604</f>
        <v>517.614238410596</v>
      </c>
      <c r="F90" s="2">
        <v>0.2</v>
      </c>
      <c r="G90" s="1">
        <f>E90*F90/1000</f>
        <v>0.10352284768211922</v>
      </c>
      <c r="H90" s="1">
        <f t="shared" si="7"/>
        <v>1.0828711386216932</v>
      </c>
      <c r="I90" s="6" t="s">
        <v>62</v>
      </c>
    </row>
    <row r="91" spans="1:9" ht="12.75">
      <c r="A91" s="5" t="s">
        <v>119</v>
      </c>
      <c r="B91" s="5" t="s">
        <v>208</v>
      </c>
      <c r="C91" s="4"/>
      <c r="D91" s="4">
        <f>D$153</f>
        <v>670</v>
      </c>
      <c r="E91" s="4">
        <f>672*552/675</f>
        <v>549.5466666666666</v>
      </c>
      <c r="F91" s="2">
        <f>2.5*4/6</f>
        <v>1.6666666666666667</v>
      </c>
      <c r="G91" s="1">
        <f>E91*F91/1000</f>
        <v>0.915911111111111</v>
      </c>
      <c r="H91" s="1">
        <f t="shared" si="7"/>
        <v>9.5806262093045</v>
      </c>
      <c r="I91" s="1">
        <f>H91</f>
        <v>9.5806262093045</v>
      </c>
    </row>
    <row r="92" spans="1:9" ht="12.75">
      <c r="A92" s="13" t="s">
        <v>120</v>
      </c>
      <c r="B92" s="5" t="s">
        <v>208</v>
      </c>
      <c r="C92" s="4"/>
      <c r="D92" s="4">
        <f>D$153</f>
        <v>670</v>
      </c>
      <c r="E92" s="4">
        <f>350*552/675</f>
        <v>286.22222222222223</v>
      </c>
      <c r="F92" s="2">
        <f>2*4/11</f>
        <v>0.7272727272727273</v>
      </c>
      <c r="G92" s="1">
        <f>E92*F92/1000</f>
        <v>0.20816161616161616</v>
      </c>
      <c r="H92" s="1">
        <f t="shared" si="7"/>
        <v>2.1774150475692045</v>
      </c>
      <c r="I92" s="1">
        <f>H92</f>
        <v>2.1774150475692045</v>
      </c>
    </row>
    <row r="93" spans="1:9" ht="12.75">
      <c r="A93" s="5" t="s">
        <v>49</v>
      </c>
      <c r="B93" s="5" t="s">
        <v>208</v>
      </c>
      <c r="C93" s="4"/>
      <c r="D93" s="4">
        <f>D89</f>
        <v>842</v>
      </c>
      <c r="E93" s="4"/>
      <c r="F93" s="2">
        <v>5</v>
      </c>
      <c r="G93" s="1"/>
      <c r="H93" s="1"/>
      <c r="I93" s="1">
        <f>H94+H95</f>
        <v>32.85843265231421</v>
      </c>
    </row>
    <row r="94" spans="1:9" ht="12.75">
      <c r="A94" s="5" t="s">
        <v>232</v>
      </c>
      <c r="B94" s="5" t="s">
        <v>208</v>
      </c>
      <c r="C94" s="4"/>
      <c r="D94" s="4"/>
      <c r="E94" s="4">
        <f>698</f>
        <v>698</v>
      </c>
      <c r="F94" s="2">
        <f>F$93*4345/(9395+4345)</f>
        <v>1.5811499272197962</v>
      </c>
      <c r="G94" s="1">
        <f>E94*F94/1000</f>
        <v>1.1036426491994178</v>
      </c>
      <c r="H94" s="1">
        <f>G94*H$178/G$178</f>
        <v>11.544338268589351</v>
      </c>
      <c r="I94" s="1"/>
    </row>
    <row r="95" spans="1:9" ht="12.75">
      <c r="A95" s="5" t="s">
        <v>233</v>
      </c>
      <c r="B95" s="5" t="s">
        <v>208</v>
      </c>
      <c r="C95" s="4"/>
      <c r="D95" s="4"/>
      <c r="E95" s="4">
        <f>596</f>
        <v>596</v>
      </c>
      <c r="F95" s="2">
        <f>F$93*9395/(9395+4345)</f>
        <v>3.4188500727802036</v>
      </c>
      <c r="G95" s="1">
        <f>E95*F95/1000</f>
        <v>2.037634643377001</v>
      </c>
      <c r="H95" s="1">
        <f>G95*H$178/G$178</f>
        <v>21.314094383724854</v>
      </c>
      <c r="I95" s="1"/>
    </row>
    <row r="96" spans="1:9" ht="12.75">
      <c r="A96" s="5" t="s">
        <v>123</v>
      </c>
      <c r="B96" s="5" t="s">
        <v>208</v>
      </c>
      <c r="C96" s="4"/>
      <c r="D96" s="4">
        <f>D$57</f>
        <v>597</v>
      </c>
      <c r="E96" s="4">
        <f>749</f>
        <v>749</v>
      </c>
      <c r="F96" s="2">
        <v>0.5</v>
      </c>
      <c r="G96" s="1">
        <f>E96*F96/1000</f>
        <v>0.3745</v>
      </c>
      <c r="H96" s="1">
        <f>G96*H$178/G$178</f>
        <v>3.9173501356828435</v>
      </c>
      <c r="I96" s="1">
        <f>H96</f>
        <v>3.9173501356828435</v>
      </c>
    </row>
    <row r="97" spans="1:9" ht="12.75">
      <c r="A97" s="5" t="s">
        <v>252</v>
      </c>
      <c r="B97" s="5" t="s">
        <v>208</v>
      </c>
      <c r="C97" s="4"/>
      <c r="D97" s="4"/>
      <c r="E97" s="4">
        <f>932*591/604</f>
        <v>911.9403973509934</v>
      </c>
      <c r="F97" s="2">
        <v>0.3</v>
      </c>
      <c r="G97" s="1">
        <f>E97*F97/1000</f>
        <v>0.273582119205298</v>
      </c>
      <c r="H97" s="1">
        <f>G97*H$178/G$178</f>
        <v>2.8617275081155515</v>
      </c>
      <c r="I97" s="6" t="s">
        <v>62</v>
      </c>
    </row>
    <row r="98" spans="1:9" ht="12.75">
      <c r="A98" s="1" t="s">
        <v>22</v>
      </c>
      <c r="B98" s="13" t="s">
        <v>209</v>
      </c>
      <c r="C98" s="4"/>
      <c r="D98" s="4">
        <f>D$5</f>
        <v>600</v>
      </c>
      <c r="E98" s="4">
        <v>570</v>
      </c>
      <c r="F98" s="2">
        <v>0.5</v>
      </c>
      <c r="G98" s="1">
        <f>E98*F98/1000</f>
        <v>0.285</v>
      </c>
      <c r="H98" s="1">
        <f>G98*H$178/G$178</f>
        <v>2.9811609844315363</v>
      </c>
      <c r="I98" s="6" t="s">
        <v>62</v>
      </c>
    </row>
    <row r="99" spans="1:9" ht="12.75">
      <c r="A99" s="5" t="s">
        <v>23</v>
      </c>
      <c r="B99" s="5" t="s">
        <v>208</v>
      </c>
      <c r="C99" s="4"/>
      <c r="D99" s="4"/>
      <c r="E99" s="4">
        <f>750</f>
        <v>750</v>
      </c>
      <c r="F99" s="2">
        <v>0.5</v>
      </c>
      <c r="G99" s="1"/>
      <c r="H99" s="1"/>
      <c r="I99" s="1"/>
    </row>
    <row r="100" spans="1:9" ht="12.75">
      <c r="A100" s="5" t="s">
        <v>243</v>
      </c>
      <c r="B100" s="5" t="s">
        <v>208</v>
      </c>
      <c r="C100" s="4"/>
      <c r="D100" s="4"/>
      <c r="E100" s="4">
        <f>750</f>
        <v>750</v>
      </c>
      <c r="F100" s="16">
        <f>(0.2+0.08+0.16+0.15)/17.25*2.25</f>
        <v>0.07695652173913045</v>
      </c>
      <c r="G100" s="1">
        <f>E98*F100/1000</f>
        <v>0.043865217391304355</v>
      </c>
      <c r="H100" s="1">
        <f>G100*H$178/G$178</f>
        <v>0.4588395602125061</v>
      </c>
      <c r="I100" s="1">
        <f>H100</f>
        <v>0.4588395602125061</v>
      </c>
    </row>
    <row r="101" spans="1:9" ht="12.75">
      <c r="A101" s="5" t="s">
        <v>244</v>
      </c>
      <c r="B101" s="5" t="s">
        <v>208</v>
      </c>
      <c r="C101" s="4"/>
      <c r="D101" s="4"/>
      <c r="E101" s="4"/>
      <c r="F101" s="16">
        <f>0.48/2.46*F99</f>
        <v>0.0975609756097561</v>
      </c>
      <c r="G101" s="1">
        <f>E$99*F101/1000</f>
        <v>0.07317073170731707</v>
      </c>
      <c r="H101" s="1">
        <f>G101*H$178/G$178</f>
        <v>0.7653815107654779</v>
      </c>
      <c r="I101" s="1">
        <f>H101</f>
        <v>0.7653815107654779</v>
      </c>
    </row>
    <row r="102" spans="1:9" ht="12.75">
      <c r="A102" s="5" t="s">
        <v>124</v>
      </c>
      <c r="B102" s="5" t="s">
        <v>208</v>
      </c>
      <c r="C102" s="4"/>
      <c r="D102" s="4">
        <f>D$57</f>
        <v>597</v>
      </c>
      <c r="E102" s="4"/>
      <c r="F102" s="16">
        <f>0.15/2.46*F$99</f>
        <v>0.03048780487804878</v>
      </c>
      <c r="G102" s="1">
        <f>E99*F102/1000</f>
        <v>0.022865853658536585</v>
      </c>
      <c r="H102" s="1">
        <f>G102*H$178/G$178</f>
        <v>0.23918172211421185</v>
      </c>
      <c r="I102" s="1">
        <f>H102+H67</f>
        <v>0.5362535139066098</v>
      </c>
    </row>
    <row r="103" spans="1:9" ht="12.75">
      <c r="A103" s="5" t="s">
        <v>205</v>
      </c>
      <c r="B103" s="5" t="s">
        <v>209</v>
      </c>
      <c r="C103" s="4"/>
      <c r="D103" s="4">
        <f>D$106</f>
        <v>498</v>
      </c>
      <c r="E103" s="4">
        <v>360</v>
      </c>
      <c r="F103" s="2">
        <f>0.3+(0.27/4/2*1.25)+(0.38/2.16*0.44)</f>
        <v>0.4195949074074074</v>
      </c>
      <c r="G103" s="1">
        <f>E103*F103/1000</f>
        <v>0.15105416666666668</v>
      </c>
      <c r="H103" s="1">
        <f>G103*H$178/G$178</f>
        <v>1.580058905973633</v>
      </c>
      <c r="I103" s="1">
        <f>H103</f>
        <v>1.580058905973633</v>
      </c>
    </row>
    <row r="104" spans="1:9" ht="12.75">
      <c r="A104" s="13" t="s">
        <v>161</v>
      </c>
      <c r="B104" s="13" t="s">
        <v>211</v>
      </c>
      <c r="C104" s="4">
        <v>454</v>
      </c>
      <c r="D104" s="4">
        <f>C104*41074/30481</f>
        <v>611.7776975821004</v>
      </c>
      <c r="E104" s="4">
        <f>1054*454/728</f>
        <v>657.3021978021978</v>
      </c>
      <c r="F104" s="2">
        <v>3.5</v>
      </c>
      <c r="G104" s="1">
        <f>E104*F104/1000</f>
        <v>2.3005576923076925</v>
      </c>
      <c r="H104" s="1">
        <f>G104*H$178/G$178</f>
        <v>24.064325735935242</v>
      </c>
      <c r="I104" s="6" t="s">
        <v>72</v>
      </c>
    </row>
    <row r="105" spans="1:9" ht="12.75">
      <c r="A105" s="13" t="s">
        <v>162</v>
      </c>
      <c r="B105" s="13" t="s">
        <v>208</v>
      </c>
      <c r="C105" s="4"/>
      <c r="D105" s="4"/>
      <c r="E105" s="4"/>
      <c r="F105" s="2">
        <v>0.6</v>
      </c>
      <c r="G105" s="1"/>
      <c r="H105" s="1"/>
      <c r="I105" s="6"/>
    </row>
    <row r="106" spans="1:9" ht="12.75">
      <c r="A106" s="1" t="s">
        <v>24</v>
      </c>
      <c r="B106" s="13" t="s">
        <v>209</v>
      </c>
      <c r="C106" s="4">
        <v>430</v>
      </c>
      <c r="D106" s="4">
        <v>498</v>
      </c>
      <c r="E106" s="4"/>
      <c r="F106" s="2">
        <v>2.25</v>
      </c>
      <c r="G106" s="1">
        <f>D106*F106/1000</f>
        <v>1.1205</v>
      </c>
      <c r="H106" s="1">
        <f aca="true" t="shared" si="8" ref="H106:H113">G106*H$178/G$178</f>
        <v>11.720669765107147</v>
      </c>
      <c r="I106" s="1">
        <f aca="true" t="shared" si="9" ref="I106:I113">H106</f>
        <v>11.720669765107147</v>
      </c>
    </row>
    <row r="107" spans="1:9" ht="12.75">
      <c r="A107" s="13" t="s">
        <v>189</v>
      </c>
      <c r="B107" s="13" t="s">
        <v>209</v>
      </c>
      <c r="C107" s="4"/>
      <c r="D107" s="4"/>
      <c r="E107" s="4"/>
      <c r="F107" s="2">
        <f>3.5*(2.67/5.3)/4</f>
        <v>0.4408018867924528</v>
      </c>
      <c r="G107" s="1">
        <f>D106*F107/1000</f>
        <v>0.2195193396226415</v>
      </c>
      <c r="H107" s="1">
        <f t="shared" si="8"/>
        <v>2.2962192653024376</v>
      </c>
      <c r="I107" s="1">
        <f t="shared" si="9"/>
        <v>2.2962192653024376</v>
      </c>
    </row>
    <row r="108" spans="1:9" ht="12.75">
      <c r="A108" s="13" t="s">
        <v>206</v>
      </c>
      <c r="B108" s="13" t="s">
        <v>209</v>
      </c>
      <c r="C108" s="4"/>
      <c r="D108" s="4">
        <f>D$106</f>
        <v>498</v>
      </c>
      <c r="E108" s="4">
        <f>358</f>
        <v>358</v>
      </c>
      <c r="F108" s="2">
        <f>(0.34/4*1.25)+(0.91/4/2*1.25)+(0.37/4/2*1.25)</f>
        <v>0.30625</v>
      </c>
      <c r="G108" s="1">
        <f>E108*F108/1000</f>
        <v>0.1096375</v>
      </c>
      <c r="H108" s="1">
        <f t="shared" si="8"/>
        <v>1.1468317102828511</v>
      </c>
      <c r="I108" s="1">
        <f t="shared" si="9"/>
        <v>1.1468317102828511</v>
      </c>
    </row>
    <row r="109" spans="1:10" ht="12.75">
      <c r="A109" s="13" t="s">
        <v>159</v>
      </c>
      <c r="B109" s="13" t="s">
        <v>208</v>
      </c>
      <c r="C109" s="4"/>
      <c r="D109" s="4">
        <f>D$57</f>
        <v>597</v>
      </c>
      <c r="E109" s="4">
        <f>419</f>
        <v>419</v>
      </c>
      <c r="F109" s="2">
        <v>2.5</v>
      </c>
      <c r="G109" s="1">
        <f>D109*F109/1000*K109</f>
        <v>0</v>
      </c>
      <c r="H109" s="1">
        <f t="shared" si="8"/>
        <v>0</v>
      </c>
      <c r="I109" s="1">
        <f t="shared" si="9"/>
        <v>0</v>
      </c>
      <c r="J109" s="5" t="s">
        <v>125</v>
      </c>
    </row>
    <row r="110" spans="1:9" ht="12.75">
      <c r="A110" s="5" t="s">
        <v>127</v>
      </c>
      <c r="B110" s="5" t="s">
        <v>210</v>
      </c>
      <c r="C110" s="4">
        <v>1381</v>
      </c>
      <c r="D110" s="4">
        <v>1919</v>
      </c>
      <c r="E110" s="4"/>
      <c r="F110" s="2">
        <v>1.5</v>
      </c>
      <c r="G110" s="1">
        <f>D110*F110/1000</f>
        <v>2.8785</v>
      </c>
      <c r="H110" s="1">
        <f t="shared" si="8"/>
        <v>30.10972594275852</v>
      </c>
      <c r="I110" s="1">
        <f t="shared" si="9"/>
        <v>30.10972594275852</v>
      </c>
    </row>
    <row r="111" spans="1:9" ht="12.75">
      <c r="A111" s="5" t="s">
        <v>202</v>
      </c>
      <c r="B111" s="5" t="s">
        <v>209</v>
      </c>
      <c r="C111" s="4"/>
      <c r="D111" s="4">
        <f>D$106</f>
        <v>498</v>
      </c>
      <c r="E111" s="4">
        <v>576</v>
      </c>
      <c r="F111" s="2">
        <f>2.43/30.417*14*(19.5/35)</f>
        <v>0.6231383765657362</v>
      </c>
      <c r="G111" s="1">
        <f>E111*F111/1000</f>
        <v>0.35892770490186404</v>
      </c>
      <c r="H111" s="1">
        <f t="shared" si="8"/>
        <v>3.7544605967894493</v>
      </c>
      <c r="I111" s="1">
        <f t="shared" si="9"/>
        <v>3.7544605967894493</v>
      </c>
    </row>
    <row r="112" spans="1:9" ht="12.75">
      <c r="A112" s="1" t="s">
        <v>25</v>
      </c>
      <c r="B112" s="13" t="s">
        <v>210</v>
      </c>
      <c r="C112" s="4">
        <v>665</v>
      </c>
      <c r="D112" s="4">
        <f>C112*41074/30481</f>
        <v>896.1060988812703</v>
      </c>
      <c r="E112" s="4">
        <f>950*665/788</f>
        <v>801.7131979695431</v>
      </c>
      <c r="F112" s="2">
        <v>0.5</v>
      </c>
      <c r="G112" s="1">
        <f>E112*F112/1000</f>
        <v>0.40085659898477155</v>
      </c>
      <c r="H112" s="1">
        <f t="shared" si="8"/>
        <v>4.193045800860769</v>
      </c>
      <c r="I112" s="5" t="s">
        <v>128</v>
      </c>
    </row>
    <row r="113" spans="1:10" ht="12.75">
      <c r="A113" s="1" t="s">
        <v>26</v>
      </c>
      <c r="B113" s="13" t="s">
        <v>208</v>
      </c>
      <c r="C113" s="4"/>
      <c r="D113" s="4">
        <f>D$5</f>
        <v>600</v>
      </c>
      <c r="E113" s="4">
        <f>883*591/604</f>
        <v>863.9950331125827</v>
      </c>
      <c r="F113" s="16">
        <f>0.18/2</f>
        <v>0.09</v>
      </c>
      <c r="G113" s="1">
        <f>E113*F113/1000</f>
        <v>0.07775955298013244</v>
      </c>
      <c r="H113" s="1">
        <f t="shared" si="8"/>
        <v>0.8133815631972205</v>
      </c>
      <c r="I113" s="1">
        <f t="shared" si="9"/>
        <v>0.8133815631972205</v>
      </c>
      <c r="J113" s="7" t="s">
        <v>138</v>
      </c>
    </row>
    <row r="114" spans="1:9" ht="12.75">
      <c r="A114" s="1" t="s">
        <v>27</v>
      </c>
      <c r="B114" s="13" t="s">
        <v>208</v>
      </c>
      <c r="C114" s="4"/>
      <c r="D114" s="4"/>
      <c r="E114" s="4"/>
      <c r="F114" s="2">
        <v>28</v>
      </c>
      <c r="G114" s="1"/>
      <c r="H114" s="1"/>
      <c r="I114" s="1">
        <f>H4+H5+H8+H11+H16+H31+H38+H41+H45+H51+H55+H72+H74+H90+H97+H98+H134+H137+H148+H152+H154+H155+H156+H168+SUM(H172:H176)</f>
        <v>240.4901980907973</v>
      </c>
    </row>
    <row r="115" spans="1:9" ht="12.75">
      <c r="A115" s="1" t="s">
        <v>28</v>
      </c>
      <c r="B115" s="13" t="s">
        <v>208</v>
      </c>
      <c r="C115" s="4"/>
      <c r="D115" s="4">
        <v>700</v>
      </c>
      <c r="E115" s="4"/>
      <c r="F115" s="8"/>
      <c r="G115" s="1">
        <f>D115*F115/1000</f>
        <v>0</v>
      </c>
      <c r="H115" s="1"/>
      <c r="I115" s="5" t="s">
        <v>63</v>
      </c>
    </row>
    <row r="116" spans="1:9" ht="12.75">
      <c r="A116" s="5" t="s">
        <v>47</v>
      </c>
      <c r="B116" s="5" t="s">
        <v>208</v>
      </c>
      <c r="C116" s="4"/>
      <c r="D116" s="4">
        <v>654</v>
      </c>
      <c r="E116" s="4"/>
      <c r="F116" s="2"/>
      <c r="G116" s="1">
        <f>D116*F116/1000</f>
        <v>0</v>
      </c>
      <c r="H116" s="1"/>
      <c r="I116" s="5" t="s">
        <v>63</v>
      </c>
    </row>
    <row r="117" spans="1:9" ht="12.75">
      <c r="A117" s="5" t="s">
        <v>225</v>
      </c>
      <c r="B117" s="5" t="s">
        <v>211</v>
      </c>
      <c r="C117" s="4"/>
      <c r="D117" s="4"/>
      <c r="E117" s="4">
        <f>687*438/663</f>
        <v>453.8552036199095</v>
      </c>
      <c r="F117" s="2">
        <f>0.1*0.6/2.25</f>
        <v>0.026666666666666665</v>
      </c>
      <c r="G117" s="1">
        <f>E117*F117/1000</f>
        <v>0.012102805429864253</v>
      </c>
      <c r="H117" s="1"/>
      <c r="I117" s="5"/>
    </row>
    <row r="118" spans="1:9" ht="12.75">
      <c r="A118" s="5" t="s">
        <v>224</v>
      </c>
      <c r="B118" s="5" t="s">
        <v>211</v>
      </c>
      <c r="C118" s="4"/>
      <c r="D118" s="4"/>
      <c r="E118" s="4">
        <f>564*438/663</f>
        <v>372.5972850678733</v>
      </c>
      <c r="F118" s="2">
        <v>0.2</v>
      </c>
      <c r="G118" s="1">
        <f>E118*F118/1000</f>
        <v>0.07451945701357467</v>
      </c>
      <c r="H118" s="1"/>
      <c r="I118" s="5"/>
    </row>
    <row r="119" spans="1:9" ht="12.75">
      <c r="A119" s="5" t="s">
        <v>223</v>
      </c>
      <c r="B119" s="5" t="s">
        <v>211</v>
      </c>
      <c r="C119" s="4"/>
      <c r="D119" s="4"/>
      <c r="E119" s="4">
        <f>697*438/663</f>
        <v>460.46153846153845</v>
      </c>
      <c r="F119" s="2">
        <v>1.5</v>
      </c>
      <c r="G119" s="1">
        <f>E119*F119/1000</f>
        <v>0.6906923076923076</v>
      </c>
      <c r="H119" s="1"/>
      <c r="I119" s="5"/>
    </row>
    <row r="120" spans="1:9" ht="12.75">
      <c r="A120" s="13" t="s">
        <v>222</v>
      </c>
      <c r="B120" s="13" t="s">
        <v>211</v>
      </c>
      <c r="C120" s="4"/>
      <c r="D120" s="4">
        <f>D$15</f>
        <v>585.1668908500377</v>
      </c>
      <c r="E120" s="4"/>
      <c r="F120" s="2">
        <v>4.13</v>
      </c>
      <c r="G120" s="1"/>
      <c r="H120" s="1">
        <f>(G14+G24+G28+G37+G117+G118+G119)*H$178/G$178</f>
        <v>20.19706961233611</v>
      </c>
      <c r="I120" s="13" t="s">
        <v>72</v>
      </c>
    </row>
    <row r="121" spans="1:9" ht="12.75">
      <c r="A121" s="6" t="s">
        <v>141</v>
      </c>
      <c r="B121" s="13" t="s">
        <v>208</v>
      </c>
      <c r="C121" s="4"/>
      <c r="D121" s="4">
        <f>D$57</f>
        <v>597</v>
      </c>
      <c r="E121" s="4">
        <f>627</f>
        <v>627</v>
      </c>
      <c r="F121" s="2">
        <v>0.667</v>
      </c>
      <c r="G121" s="1">
        <f>E121*F121/1000</f>
        <v>0.418209</v>
      </c>
      <c r="H121" s="1">
        <f>G121*H$178/G$178</f>
        <v>4.374555628554837</v>
      </c>
      <c r="I121" s="6" t="s">
        <v>72</v>
      </c>
    </row>
    <row r="122" spans="1:9" ht="12.75">
      <c r="A122" s="6" t="s">
        <v>81</v>
      </c>
      <c r="B122" s="13" t="s">
        <v>210</v>
      </c>
      <c r="C122" s="4">
        <v>548</v>
      </c>
      <c r="D122" s="4">
        <f>C122*41074/30481</f>
        <v>738.4453265968964</v>
      </c>
      <c r="E122" s="4"/>
      <c r="F122" s="2">
        <v>0.5</v>
      </c>
      <c r="G122" s="1">
        <f>D122*F122/1000</f>
        <v>0.3692226632984482</v>
      </c>
      <c r="H122" s="1">
        <f>G122*H$178/G$178</f>
        <v>3.8621480645376685</v>
      </c>
      <c r="I122" s="6" t="s">
        <v>68</v>
      </c>
    </row>
    <row r="123" spans="1:9" ht="12.75">
      <c r="A123" s="13" t="s">
        <v>239</v>
      </c>
      <c r="B123" s="13" t="s">
        <v>210</v>
      </c>
      <c r="C123" s="4">
        <v>548</v>
      </c>
      <c r="D123" s="4">
        <f>C123*41074/30481</f>
        <v>738.4453265968964</v>
      </c>
      <c r="E123" s="4"/>
      <c r="F123" s="2">
        <v>9.5</v>
      </c>
      <c r="G123" s="1"/>
      <c r="H123" s="1"/>
      <c r="I123" s="1">
        <f>SUM(H124:H129)</f>
        <v>85.5602268050634</v>
      </c>
    </row>
    <row r="124" spans="1:9" ht="12.75">
      <c r="A124" s="13" t="s">
        <v>234</v>
      </c>
      <c r="B124" s="13" t="s">
        <v>210</v>
      </c>
      <c r="C124" s="4">
        <v>548</v>
      </c>
      <c r="D124" s="4">
        <v>1454</v>
      </c>
      <c r="E124" s="4"/>
      <c r="F124" s="2">
        <v>3.5</v>
      </c>
      <c r="G124" s="1">
        <f>D124*F124/1000</f>
        <v>5.089</v>
      </c>
      <c r="H124" s="1">
        <f aca="true" t="shared" si="10" ref="H124:H131">G124*H$178/G$178</f>
        <v>53.23202894656873</v>
      </c>
      <c r="I124" s="1"/>
    </row>
    <row r="125" spans="1:9" ht="12.75">
      <c r="A125" s="13" t="s">
        <v>236</v>
      </c>
      <c r="B125" s="13" t="s">
        <v>210</v>
      </c>
      <c r="C125" s="4"/>
      <c r="D125" s="4"/>
      <c r="E125" s="4">
        <f>588*552/675</f>
        <v>480.85333333333335</v>
      </c>
      <c r="F125" s="2">
        <v>0.25</v>
      </c>
      <c r="G125" s="1">
        <f aca="true" t="shared" si="11" ref="G125:G130">E125*F125/1000</f>
        <v>0.12021333333333334</v>
      </c>
      <c r="H125" s="1">
        <f t="shared" si="10"/>
        <v>1.2574571899712157</v>
      </c>
      <c r="I125" s="1"/>
    </row>
    <row r="126" spans="1:9" ht="12.75">
      <c r="A126" s="13" t="s">
        <v>235</v>
      </c>
      <c r="B126" s="13" t="s">
        <v>210</v>
      </c>
      <c r="C126" s="4"/>
      <c r="D126" s="4"/>
      <c r="E126" s="4">
        <f>1059*552/675</f>
        <v>866.0266666666666</v>
      </c>
      <c r="F126" s="2">
        <v>0.5</v>
      </c>
      <c r="G126" s="1">
        <f t="shared" si="11"/>
        <v>0.4330133333333333</v>
      </c>
      <c r="H126" s="1">
        <f t="shared" si="10"/>
        <v>4.529412123059583</v>
      </c>
      <c r="I126" s="1"/>
    </row>
    <row r="127" spans="1:9" ht="12.75">
      <c r="A127" s="13" t="s">
        <v>237</v>
      </c>
      <c r="B127" s="13" t="s">
        <v>210</v>
      </c>
      <c r="C127" s="4"/>
      <c r="D127" s="4"/>
      <c r="E127" s="18">
        <f>616*552/675</f>
        <v>503.75111111111113</v>
      </c>
      <c r="F127" s="2">
        <v>4</v>
      </c>
      <c r="G127" s="1">
        <f t="shared" si="11"/>
        <v>2.0150044444444446</v>
      </c>
      <c r="H127" s="1">
        <f t="shared" si="10"/>
        <v>21.0773776604699</v>
      </c>
      <c r="I127" s="1"/>
    </row>
    <row r="128" spans="1:9" ht="12.75">
      <c r="A128" s="13" t="s">
        <v>238</v>
      </c>
      <c r="B128" s="13" t="s">
        <v>210</v>
      </c>
      <c r="C128" s="4"/>
      <c r="D128" s="4"/>
      <c r="E128" s="4">
        <f>511*552/675</f>
        <v>417.88444444444445</v>
      </c>
      <c r="F128" s="2">
        <v>0.75</v>
      </c>
      <c r="G128" s="1">
        <f t="shared" si="11"/>
        <v>0.3134133333333334</v>
      </c>
      <c r="H128" s="1">
        <f t="shared" si="10"/>
        <v>3.2783705309963835</v>
      </c>
      <c r="I128" s="1"/>
    </row>
    <row r="129" spans="1:9" ht="12.75">
      <c r="A129" s="13" t="s">
        <v>242</v>
      </c>
      <c r="B129" s="13" t="s">
        <v>210</v>
      </c>
      <c r="C129" s="4"/>
      <c r="D129" s="4"/>
      <c r="E129" s="4">
        <f>511*552/675</f>
        <v>417.88444444444445</v>
      </c>
      <c r="F129" s="2">
        <v>0.5</v>
      </c>
      <c r="G129" s="1">
        <f t="shared" si="11"/>
        <v>0.20894222222222222</v>
      </c>
      <c r="H129" s="1">
        <f t="shared" si="10"/>
        <v>2.185580353997589</v>
      </c>
      <c r="I129" s="1"/>
    </row>
    <row r="130" spans="1:9" ht="12.75">
      <c r="A130" s="13" t="s">
        <v>213</v>
      </c>
      <c r="B130" s="13" t="s">
        <v>210</v>
      </c>
      <c r="C130" s="4">
        <v>740</v>
      </c>
      <c r="D130" s="4">
        <f>1163*1413/1312</f>
        <v>1252.529725609756</v>
      </c>
      <c r="E130" s="4">
        <f>1163*740/819</f>
        <v>1050.8180708180707</v>
      </c>
      <c r="F130" s="2">
        <v>2</v>
      </c>
      <c r="G130" s="1">
        <f t="shared" si="11"/>
        <v>2.1016361416361415</v>
      </c>
      <c r="H130" s="1">
        <f t="shared" si="10"/>
        <v>21.9835637505856</v>
      </c>
      <c r="I130" s="6" t="s">
        <v>78</v>
      </c>
    </row>
    <row r="131" spans="1:9" ht="12.75">
      <c r="A131" s="13" t="s">
        <v>184</v>
      </c>
      <c r="B131" s="13" t="s">
        <v>210</v>
      </c>
      <c r="C131" s="4"/>
      <c r="D131" s="4"/>
      <c r="E131" s="4"/>
      <c r="F131" s="2">
        <v>0.06</v>
      </c>
      <c r="G131" s="1">
        <f>E130*F131/1000</f>
        <v>0.06304908424908424</v>
      </c>
      <c r="H131" s="1">
        <f t="shared" si="10"/>
        <v>0.659506912517568</v>
      </c>
      <c r="I131" s="6" t="s">
        <v>78</v>
      </c>
    </row>
    <row r="132" spans="1:9" ht="12.75">
      <c r="A132" s="1" t="s">
        <v>29</v>
      </c>
      <c r="B132" s="13" t="s">
        <v>210</v>
      </c>
      <c r="C132" s="4">
        <v>548</v>
      </c>
      <c r="D132" s="4">
        <f>C132*41074/30481</f>
        <v>738.4453265968964</v>
      </c>
      <c r="E132" s="4">
        <f>1094*548/670</f>
        <v>894.7940298507463</v>
      </c>
      <c r="F132" s="2">
        <v>2</v>
      </c>
      <c r="G132" s="1"/>
      <c r="H132" s="1"/>
      <c r="I132" s="1"/>
    </row>
    <row r="133" spans="1:9" ht="12.75">
      <c r="A133" s="6" t="s">
        <v>137</v>
      </c>
      <c r="B133" s="13" t="s">
        <v>210</v>
      </c>
      <c r="C133" s="4">
        <v>548</v>
      </c>
      <c r="D133" s="4">
        <f>C133*41074/30481</f>
        <v>738.4453265968964</v>
      </c>
      <c r="E133" s="4"/>
      <c r="F133" s="2">
        <v>0.88</v>
      </c>
      <c r="G133" s="1">
        <f>E132*F133/1000</f>
        <v>0.7874187462686567</v>
      </c>
      <c r="H133" s="1">
        <f aca="true" t="shared" si="12" ref="H133:H138">G133*H$178/G$178</f>
        <v>8.236568578196895</v>
      </c>
      <c r="I133" s="1">
        <f>H133</f>
        <v>8.236568578196895</v>
      </c>
    </row>
    <row r="134" spans="1:10" ht="12.75">
      <c r="A134" s="6" t="s">
        <v>140</v>
      </c>
      <c r="B134" s="13" t="s">
        <v>210</v>
      </c>
      <c r="C134" s="4">
        <v>548</v>
      </c>
      <c r="D134" s="4">
        <f>C134*41074/30481</f>
        <v>738.4453265968964</v>
      </c>
      <c r="E134" s="4"/>
      <c r="F134" s="2">
        <f>F132-F133</f>
        <v>1.12</v>
      </c>
      <c r="G134" s="1">
        <f>E132*F134/1000</f>
        <v>1.002169313432836</v>
      </c>
      <c r="H134" s="1">
        <f t="shared" si="12"/>
        <v>10.482905463159685</v>
      </c>
      <c r="I134" s="13" t="s">
        <v>62</v>
      </c>
      <c r="J134" s="7" t="s">
        <v>139</v>
      </c>
    </row>
    <row r="135" spans="1:9" ht="12.75">
      <c r="A135" s="17" t="s">
        <v>251</v>
      </c>
      <c r="B135" s="17" t="s">
        <v>210</v>
      </c>
      <c r="C135" s="4">
        <v>552</v>
      </c>
      <c r="D135" s="4">
        <f>C135*41074/30481</f>
        <v>743.8354384698665</v>
      </c>
      <c r="E135" s="4">
        <f>992*552/675</f>
        <v>811.2355555555556</v>
      </c>
      <c r="F135" s="1">
        <v>14</v>
      </c>
      <c r="G135" s="1">
        <f>E135*F135/1000</f>
        <v>11.357297777777777</v>
      </c>
      <c r="H135" s="1">
        <f t="shared" si="12"/>
        <v>118.7997649953758</v>
      </c>
      <c r="I135" s="1">
        <f>H135</f>
        <v>118.7997649953758</v>
      </c>
    </row>
    <row r="136" spans="1:9" ht="12.75">
      <c r="A136" s="17" t="s">
        <v>201</v>
      </c>
      <c r="B136" s="17" t="s">
        <v>209</v>
      </c>
      <c r="C136" s="4"/>
      <c r="D136" s="4">
        <f>D$106</f>
        <v>498</v>
      </c>
      <c r="E136" s="4">
        <v>421</v>
      </c>
      <c r="F136" s="1">
        <f>1.2*(14/27)/3</f>
        <v>0.20740740740740737</v>
      </c>
      <c r="G136" s="1">
        <f>E136*F136/1000</f>
        <v>0.0873185185185185</v>
      </c>
      <c r="H136" s="1">
        <f t="shared" si="12"/>
        <v>0.9133703881605963</v>
      </c>
      <c r="I136" s="1">
        <f>H136</f>
        <v>0.9133703881605963</v>
      </c>
    </row>
    <row r="137" spans="1:9" ht="12.75">
      <c r="A137" s="1" t="s">
        <v>30</v>
      </c>
      <c r="B137" s="13" t="s">
        <v>208</v>
      </c>
      <c r="C137" s="4"/>
      <c r="D137" s="4">
        <f>D$5</f>
        <v>600</v>
      </c>
      <c r="E137" s="4">
        <f>441*591/604</f>
        <v>431.5082781456954</v>
      </c>
      <c r="F137" s="12">
        <f>2.1-0.5</f>
        <v>1.6</v>
      </c>
      <c r="G137" s="1">
        <f>E137*F137/1000</f>
        <v>0.6904132450331126</v>
      </c>
      <c r="H137" s="1">
        <f t="shared" si="12"/>
        <v>7.221870277991178</v>
      </c>
      <c r="I137" s="6" t="s">
        <v>62</v>
      </c>
    </row>
    <row r="138" spans="1:9" ht="12.75">
      <c r="A138" s="1" t="s">
        <v>31</v>
      </c>
      <c r="B138" s="13" t="s">
        <v>210</v>
      </c>
      <c r="C138" s="4">
        <v>853</v>
      </c>
      <c r="D138" s="4">
        <v>1413</v>
      </c>
      <c r="E138" s="4"/>
      <c r="F138" s="2">
        <v>8.5</v>
      </c>
      <c r="G138" s="1">
        <f>D138*F138/1000</f>
        <v>12.0105</v>
      </c>
      <c r="H138" s="1">
        <f t="shared" si="12"/>
        <v>125.63240001233322</v>
      </c>
      <c r="I138" s="6" t="s">
        <v>78</v>
      </c>
    </row>
    <row r="139" spans="1:9" ht="12.75">
      <c r="A139" s="6" t="s">
        <v>75</v>
      </c>
      <c r="B139" s="13" t="s">
        <v>211</v>
      </c>
      <c r="C139" s="4"/>
      <c r="D139" s="4"/>
      <c r="E139" s="4"/>
      <c r="F139" s="2"/>
      <c r="G139" s="1"/>
      <c r="H139" s="9"/>
      <c r="I139" s="9">
        <f>H12+H29+H30+H35+H36+H104+H120+H121+H160</f>
        <v>53.43225285637658</v>
      </c>
    </row>
    <row r="140" spans="1:9" ht="12.75">
      <c r="A140" s="6" t="s">
        <v>57</v>
      </c>
      <c r="B140" s="13" t="s">
        <v>210</v>
      </c>
      <c r="C140" s="4"/>
      <c r="D140" s="4"/>
      <c r="E140" s="4"/>
      <c r="F140" s="2"/>
      <c r="G140" s="1"/>
      <c r="H140" s="9"/>
      <c r="I140" s="1">
        <f>H13+H21+H44+H78+H86+H87+H88+H130+H131+H138</f>
        <v>253.75372016823863</v>
      </c>
    </row>
    <row r="141" spans="1:9" ht="12.75">
      <c r="A141" s="13" t="s">
        <v>142</v>
      </c>
      <c r="B141" s="13" t="s">
        <v>208</v>
      </c>
      <c r="C141" s="4"/>
      <c r="D141" s="4">
        <f>D$57</f>
        <v>597</v>
      </c>
      <c r="E141" s="4">
        <f>454</f>
        <v>454</v>
      </c>
      <c r="F141" s="10">
        <f>1.25/2</f>
        <v>0.625</v>
      </c>
      <c r="G141" s="1">
        <f>E141*F141/1000</f>
        <v>0.28375</v>
      </c>
      <c r="H141" s="1">
        <f>G141*H$178/G$178</f>
        <v>2.9680857169559594</v>
      </c>
      <c r="I141" s="1">
        <f>H141</f>
        <v>2.9680857169559594</v>
      </c>
    </row>
    <row r="142" spans="1:9" ht="12.75">
      <c r="A142" s="6" t="s">
        <v>143</v>
      </c>
      <c r="B142" s="13" t="s">
        <v>208</v>
      </c>
      <c r="C142" s="4"/>
      <c r="D142" s="4">
        <f>D$57</f>
        <v>597</v>
      </c>
      <c r="E142" s="4">
        <f>454</f>
        <v>454</v>
      </c>
      <c r="F142" s="10">
        <f>1.25/2</f>
        <v>0.625</v>
      </c>
      <c r="G142" s="1">
        <f>E142*F142/1000</f>
        <v>0.28375</v>
      </c>
      <c r="H142" s="1">
        <f>G142*H$178/G$178</f>
        <v>2.9680857169559594</v>
      </c>
      <c r="I142" s="1">
        <f>H142</f>
        <v>2.9680857169559594</v>
      </c>
    </row>
    <row r="143" spans="1:9" ht="12.75">
      <c r="A143" s="6" t="s">
        <v>145</v>
      </c>
      <c r="B143" s="13" t="s">
        <v>209</v>
      </c>
      <c r="C143" s="4"/>
      <c r="D143" s="4">
        <f>D$5</f>
        <v>600</v>
      </c>
      <c r="E143" s="4">
        <v>485</v>
      </c>
      <c r="F143" s="2">
        <v>4.2</v>
      </c>
      <c r="G143" s="1"/>
      <c r="H143" s="1"/>
      <c r="I143" s="1"/>
    </row>
    <row r="144" spans="1:9" ht="12.75">
      <c r="A144" s="13" t="s">
        <v>144</v>
      </c>
      <c r="B144" s="13" t="s">
        <v>209</v>
      </c>
      <c r="C144" s="4"/>
      <c r="D144" s="4">
        <f>D$5</f>
        <v>600</v>
      </c>
      <c r="E144" s="4">
        <v>485</v>
      </c>
      <c r="F144" s="2">
        <f>F143/2</f>
        <v>2.1</v>
      </c>
      <c r="G144" s="1">
        <f>E144*F144/1000</f>
        <v>1.0185</v>
      </c>
      <c r="H144" s="1">
        <f>G144*H$178/G$178</f>
        <v>10.65372793910007</v>
      </c>
      <c r="I144" s="1">
        <f>H144</f>
        <v>10.65372793910007</v>
      </c>
    </row>
    <row r="145" spans="1:9" ht="12.75">
      <c r="A145" s="1" t="s">
        <v>32</v>
      </c>
      <c r="B145" s="13" t="s">
        <v>210</v>
      </c>
      <c r="C145" s="4">
        <v>700</v>
      </c>
      <c r="D145" s="4">
        <v>1088</v>
      </c>
      <c r="E145" s="4"/>
      <c r="F145" s="10">
        <f>1-0.2</f>
        <v>0.8</v>
      </c>
      <c r="G145" s="1">
        <f>D145*F145/1000</f>
        <v>0.8704000000000001</v>
      </c>
      <c r="H145" s="1">
        <f>G145*H$178/G$178</f>
        <v>9.104570248593719</v>
      </c>
      <c r="I145" s="6" t="s">
        <v>147</v>
      </c>
    </row>
    <row r="146" spans="1:9" ht="12.75">
      <c r="A146" s="6" t="s">
        <v>146</v>
      </c>
      <c r="B146" s="13" t="s">
        <v>210</v>
      </c>
      <c r="C146" s="4"/>
      <c r="D146" s="4"/>
      <c r="E146" s="4"/>
      <c r="F146" s="2"/>
      <c r="G146" s="1"/>
      <c r="H146" s="1"/>
      <c r="I146" s="1">
        <f>H39+H42+H145</f>
        <v>11.386236688074817</v>
      </c>
    </row>
    <row r="147" spans="1:9" ht="12.75">
      <c r="A147" s="1" t="s">
        <v>33</v>
      </c>
      <c r="B147" s="13" t="s">
        <v>210</v>
      </c>
      <c r="C147" s="4">
        <v>750</v>
      </c>
      <c r="D147" s="4">
        <v>1148</v>
      </c>
      <c r="E147" s="4"/>
      <c r="F147" s="2">
        <v>1</v>
      </c>
      <c r="G147" s="1">
        <f>D147*F147/1000</f>
        <v>1.148</v>
      </c>
      <c r="H147" s="1">
        <f aca="true" t="shared" si="13" ref="H147:H152">G147*H$178/G$178</f>
        <v>12.008325649569839</v>
      </c>
      <c r="I147" s="1">
        <f>H147</f>
        <v>12.008325649569839</v>
      </c>
    </row>
    <row r="148" spans="1:9" ht="12.75">
      <c r="A148" s="5" t="s">
        <v>34</v>
      </c>
      <c r="B148" s="5" t="s">
        <v>208</v>
      </c>
      <c r="C148" s="4"/>
      <c r="D148" s="4">
        <f>D$153</f>
        <v>670</v>
      </c>
      <c r="E148" s="4">
        <f>850*591/604</f>
        <v>831.705298013245</v>
      </c>
      <c r="F148" s="16">
        <f>1.75-0.3</f>
        <v>1.45</v>
      </c>
      <c r="G148" s="1">
        <f>E148*F148/1000</f>
        <v>1.2059726821192052</v>
      </c>
      <c r="H148" s="1">
        <f t="shared" si="13"/>
        <v>12.614732309558</v>
      </c>
      <c r="I148" s="6" t="s">
        <v>62</v>
      </c>
    </row>
    <row r="149" spans="1:9" ht="12.75">
      <c r="A149" s="13" t="s">
        <v>96</v>
      </c>
      <c r="B149" s="13" t="s">
        <v>208</v>
      </c>
      <c r="C149" s="4"/>
      <c r="D149" s="4">
        <f>D$57</f>
        <v>597</v>
      </c>
      <c r="E149" s="4">
        <v>497</v>
      </c>
      <c r="F149" s="2">
        <f>2.25-F150-F100</f>
        <v>1.8034442934782609</v>
      </c>
      <c r="G149" s="1">
        <f>E149*F149/1000</f>
        <v>0.8963118138586956</v>
      </c>
      <c r="H149" s="1">
        <f t="shared" si="13"/>
        <v>9.37561336617756</v>
      </c>
      <c r="I149" s="13">
        <f>H149+H151+H20</f>
        <v>13.354580030905797</v>
      </c>
    </row>
    <row r="150" spans="1:9" ht="12.75">
      <c r="A150" s="13" t="s">
        <v>217</v>
      </c>
      <c r="B150" s="13" t="s">
        <v>208</v>
      </c>
      <c r="C150" s="4"/>
      <c r="D150" s="4">
        <f>D$57</f>
        <v>597</v>
      </c>
      <c r="E150" s="4">
        <v>497</v>
      </c>
      <c r="F150" s="2">
        <f>2.25*(2.015/9.2)*0.75</f>
        <v>0.3695991847826088</v>
      </c>
      <c r="G150" s="1">
        <f>E150*F150/1000</f>
        <v>0.18369079483695658</v>
      </c>
      <c r="H150" s="1">
        <f t="shared" si="13"/>
        <v>1.9214450202356241</v>
      </c>
      <c r="I150" s="6">
        <f>H150</f>
        <v>1.9214450202356241</v>
      </c>
    </row>
    <row r="151" spans="1:9" ht="12.75">
      <c r="A151" s="13" t="s">
        <v>253</v>
      </c>
      <c r="B151" s="13" t="s">
        <v>208</v>
      </c>
      <c r="C151" s="4"/>
      <c r="D151" s="4"/>
      <c r="E151" s="4">
        <f>AVERAGE(E17,E149)</f>
        <v>544.9162303664921</v>
      </c>
      <c r="F151" s="2">
        <f>1.87/14.66*F17</f>
        <v>0.45920873124147343</v>
      </c>
      <c r="G151" s="1">
        <f>E151*F151/1000</f>
        <v>0.2502302907794833</v>
      </c>
      <c r="H151" s="1">
        <f t="shared" si="13"/>
        <v>2.617462385946505</v>
      </c>
      <c r="I151" s="13" t="s">
        <v>254</v>
      </c>
    </row>
    <row r="152" spans="1:9" ht="12.75">
      <c r="A152" s="1" t="s">
        <v>35</v>
      </c>
      <c r="B152" s="13" t="s">
        <v>209</v>
      </c>
      <c r="C152" s="4"/>
      <c r="D152" s="4">
        <f>D$5</f>
        <v>600</v>
      </c>
      <c r="E152" s="4">
        <v>519</v>
      </c>
      <c r="F152" s="2">
        <v>1</v>
      </c>
      <c r="G152" s="1">
        <f>E152*F152/1000</f>
        <v>0.519</v>
      </c>
      <c r="H152" s="1">
        <f t="shared" si="13"/>
        <v>5.428851055859535</v>
      </c>
      <c r="I152" s="6" t="s">
        <v>62</v>
      </c>
    </row>
    <row r="153" spans="1:8" ht="12.75">
      <c r="A153" s="1" t="s">
        <v>36</v>
      </c>
      <c r="B153" s="13" t="s">
        <v>208</v>
      </c>
      <c r="C153" s="4">
        <v>600</v>
      </c>
      <c r="D153" s="4">
        <v>670</v>
      </c>
      <c r="E153" s="4"/>
      <c r="F153" s="2">
        <v>7.9</v>
      </c>
      <c r="G153" s="1"/>
      <c r="H153" s="1"/>
    </row>
    <row r="154" spans="1:9" ht="12.75">
      <c r="A154" s="5" t="s">
        <v>59</v>
      </c>
      <c r="B154" s="5" t="s">
        <v>210</v>
      </c>
      <c r="C154" s="4"/>
      <c r="D154" s="4"/>
      <c r="E154" s="4"/>
      <c r="F154" s="2">
        <v>0.4</v>
      </c>
      <c r="G154" s="1">
        <f>D$153*F154/1000</f>
        <v>0.268</v>
      </c>
      <c r="H154" s="1">
        <f>G154*H$178/G$178</f>
        <v>2.8033373467636906</v>
      </c>
      <c r="I154" s="6" t="s">
        <v>62</v>
      </c>
    </row>
    <row r="155" spans="1:9" ht="12.75">
      <c r="A155" s="5" t="s">
        <v>60</v>
      </c>
      <c r="B155" s="5" t="s">
        <v>208</v>
      </c>
      <c r="C155" s="4"/>
      <c r="D155" s="4"/>
      <c r="E155" s="4"/>
      <c r="F155" s="2">
        <v>7.5</v>
      </c>
      <c r="G155" s="1">
        <f>D$153*F155/1000</f>
        <v>5.025</v>
      </c>
      <c r="H155" s="1">
        <f>G155*H$178/G$178</f>
        <v>52.5625752518192</v>
      </c>
      <c r="I155" s="6" t="s">
        <v>62</v>
      </c>
    </row>
    <row r="156" spans="1:9" ht="12.75">
      <c r="A156" s="6" t="s">
        <v>149</v>
      </c>
      <c r="B156" s="13" t="s">
        <v>210</v>
      </c>
      <c r="C156" s="4"/>
      <c r="D156" s="4">
        <f>D$153</f>
        <v>670</v>
      </c>
      <c r="E156" s="4">
        <f>616*552/675</f>
        <v>503.75111111111113</v>
      </c>
      <c r="F156" s="2">
        <v>0.5</v>
      </c>
      <c r="G156" s="1">
        <f>E156*F156/1000</f>
        <v>0.2518755555555556</v>
      </c>
      <c r="H156" s="1">
        <f>G156*H$178/G$178</f>
        <v>2.6346722075587374</v>
      </c>
      <c r="I156" s="6" t="s">
        <v>62</v>
      </c>
    </row>
    <row r="157" spans="1:9" ht="12.75">
      <c r="A157" s="1" t="s">
        <v>37</v>
      </c>
      <c r="B157" s="13" t="s">
        <v>210</v>
      </c>
      <c r="C157" s="4">
        <v>974</v>
      </c>
      <c r="D157" s="4">
        <v>1287</v>
      </c>
      <c r="E157" s="4"/>
      <c r="F157" s="2">
        <v>6.17</v>
      </c>
      <c r="G157" s="1"/>
      <c r="H157" s="1"/>
      <c r="I157" s="1"/>
    </row>
    <row r="158" spans="1:9" ht="12.75">
      <c r="A158" s="6" t="s">
        <v>95</v>
      </c>
      <c r="B158" s="13" t="s">
        <v>210</v>
      </c>
      <c r="C158" s="4"/>
      <c r="D158" s="4"/>
      <c r="E158" s="4"/>
      <c r="F158" s="2">
        <v>4.3</v>
      </c>
      <c r="G158" s="1">
        <f>D157*F158/1000</f>
        <v>5.5341</v>
      </c>
      <c r="H158" s="1">
        <f>G158*H$178/G$178</f>
        <v>57.88787018927216</v>
      </c>
      <c r="I158" s="1">
        <f>H158</f>
        <v>57.88787018927216</v>
      </c>
    </row>
    <row r="159" spans="1:9" ht="12.75">
      <c r="A159" s="5" t="s">
        <v>54</v>
      </c>
      <c r="B159" s="5" t="s">
        <v>210</v>
      </c>
      <c r="C159" s="4"/>
      <c r="D159" s="4"/>
      <c r="E159" s="4"/>
      <c r="F159" s="2">
        <v>0.75</v>
      </c>
      <c r="G159" s="1">
        <f>D157*F159/1000</f>
        <v>0.96525</v>
      </c>
      <c r="H159" s="1">
        <f>G159*H$178/G$178</f>
        <v>10.096721544640493</v>
      </c>
      <c r="I159" s="1">
        <f>H159</f>
        <v>10.096721544640493</v>
      </c>
    </row>
    <row r="160" spans="1:9" ht="12.75">
      <c r="A160" s="13" t="s">
        <v>160</v>
      </c>
      <c r="B160" s="13" t="s">
        <v>211</v>
      </c>
      <c r="C160" s="4"/>
      <c r="D160" s="4">
        <f>D$15</f>
        <v>585.1668908500377</v>
      </c>
      <c r="E160" s="4">
        <f>442*438/663</f>
        <v>292</v>
      </c>
      <c r="F160" s="2">
        <v>0.4</v>
      </c>
      <c r="G160" s="1">
        <f>E160*F160/1000</f>
        <v>0.11680000000000001</v>
      </c>
      <c r="H160" s="1">
        <f>G160*H$178/G$178</f>
        <v>1.221752992917907</v>
      </c>
      <c r="I160" s="6" t="s">
        <v>72</v>
      </c>
    </row>
    <row r="161" spans="1:9" ht="12.75">
      <c r="A161" s="13" t="s">
        <v>257</v>
      </c>
      <c r="B161" s="13" t="s">
        <v>208</v>
      </c>
      <c r="C161" s="4"/>
      <c r="D161" s="4"/>
      <c r="E161" s="4"/>
      <c r="F161" s="2">
        <v>2</v>
      </c>
      <c r="G161" s="1"/>
      <c r="H161" s="1"/>
      <c r="I161" s="6"/>
    </row>
    <row r="162" spans="1:9" ht="12.75">
      <c r="A162" s="13" t="s">
        <v>150</v>
      </c>
      <c r="B162" s="13" t="s">
        <v>208</v>
      </c>
      <c r="C162" s="4"/>
      <c r="D162" s="4">
        <f>D$57</f>
        <v>597</v>
      </c>
      <c r="E162" s="4">
        <v>460</v>
      </c>
      <c r="F162" s="2">
        <v>1.5</v>
      </c>
      <c r="G162" s="1"/>
      <c r="H162" s="1"/>
      <c r="I162" s="1">
        <f>H164+H165</f>
        <v>6.557592444965136</v>
      </c>
    </row>
    <row r="163" spans="1:9" ht="12.75">
      <c r="A163" s="13" t="s">
        <v>259</v>
      </c>
      <c r="B163" s="13" t="s">
        <v>208</v>
      </c>
      <c r="C163" s="4"/>
      <c r="D163" s="4"/>
      <c r="E163" s="4"/>
      <c r="F163" s="2">
        <f>0.84/47.1*F161</f>
        <v>0.035668789808917196</v>
      </c>
      <c r="G163" s="1">
        <f>E162*F163/1000</f>
        <v>0.01640764331210191</v>
      </c>
      <c r="H163" s="1">
        <f aca="true" t="shared" si="14" ref="H163:H168">G163*H$178/G$178</f>
        <v>0.17162745995967454</v>
      </c>
      <c r="I163" s="1">
        <f>H163</f>
        <v>0.17162745995967454</v>
      </c>
    </row>
    <row r="164" spans="1:9" ht="12.75">
      <c r="A164" s="13" t="s">
        <v>256</v>
      </c>
      <c r="B164" s="13" t="s">
        <v>208</v>
      </c>
      <c r="C164" s="4"/>
      <c r="D164" s="4"/>
      <c r="E164" s="4"/>
      <c r="F164" s="2">
        <f>22.6/47.1*F161</f>
        <v>0.9596602972399151</v>
      </c>
      <c r="G164" s="1">
        <f>E162*F164/1000</f>
        <v>0.4414437367303609</v>
      </c>
      <c r="H164" s="1">
        <f t="shared" si="14"/>
        <v>4.6175959465341005</v>
      </c>
      <c r="I164" s="1"/>
    </row>
    <row r="165" spans="1:9" ht="12.75">
      <c r="A165" s="13" t="s">
        <v>255</v>
      </c>
      <c r="B165" s="13" t="s">
        <v>208</v>
      </c>
      <c r="C165" s="4"/>
      <c r="D165" s="4"/>
      <c r="E165" s="4"/>
      <c r="F165" s="2">
        <f>F162-F163-F164-F166</f>
        <v>0.4031833096453826</v>
      </c>
      <c r="G165" s="1">
        <f>E162*F165/1000</f>
        <v>0.18546432243687602</v>
      </c>
      <c r="H165" s="1">
        <f t="shared" si="14"/>
        <v>1.9399964984310358</v>
      </c>
      <c r="I165" s="1"/>
    </row>
    <row r="166" spans="1:9" ht="12.75">
      <c r="A166" s="13" t="s">
        <v>258</v>
      </c>
      <c r="B166" s="13" t="s">
        <v>208</v>
      </c>
      <c r="C166" s="4"/>
      <c r="D166" s="4"/>
      <c r="E166" s="4"/>
      <c r="F166" s="2">
        <f>3.07/60.5*2</f>
        <v>0.10148760330578512</v>
      </c>
      <c r="G166" s="1">
        <f>E162*F166/1000</f>
        <v>0.04668429752066115</v>
      </c>
      <c r="H166" s="1">
        <f t="shared" si="14"/>
        <v>0.4883277415936454</v>
      </c>
      <c r="I166" s="1">
        <f>H166</f>
        <v>0.4883277415936454</v>
      </c>
    </row>
    <row r="167" spans="1:9" ht="12.75">
      <c r="A167" s="13" t="s">
        <v>260</v>
      </c>
      <c r="B167" s="13" t="s">
        <v>208</v>
      </c>
      <c r="C167" s="4"/>
      <c r="D167" s="4"/>
      <c r="E167" s="4"/>
      <c r="F167" s="2">
        <f>2.97/13.59*2</f>
        <v>0.4370860927152318</v>
      </c>
      <c r="G167" s="1">
        <f>E162*F167/1000</f>
        <v>0.20105960264900663</v>
      </c>
      <c r="H167" s="1">
        <f t="shared" si="14"/>
        <v>2.1031264665351794</v>
      </c>
      <c r="I167" s="13" t="s">
        <v>263</v>
      </c>
    </row>
    <row r="168" spans="1:9" ht="12.75">
      <c r="A168" s="1" t="s">
        <v>38</v>
      </c>
      <c r="B168" s="13" t="s">
        <v>208</v>
      </c>
      <c r="C168" s="4"/>
      <c r="D168" s="4">
        <f>D$5</f>
        <v>600</v>
      </c>
      <c r="E168" s="4">
        <f>662*591/604</f>
        <v>647.7516556291391</v>
      </c>
      <c r="F168" s="2">
        <f>2.5-0.3</f>
        <v>2.2</v>
      </c>
      <c r="G168" s="1">
        <f>E168*F168/1000</f>
        <v>1.4250536423841063</v>
      </c>
      <c r="H168" s="1">
        <f t="shared" si="14"/>
        <v>14.906366032973857</v>
      </c>
      <c r="I168" s="6" t="s">
        <v>62</v>
      </c>
    </row>
    <row r="169" spans="1:9" ht="12.75">
      <c r="A169" s="6" t="s">
        <v>52</v>
      </c>
      <c r="B169" s="13" t="s">
        <v>210</v>
      </c>
      <c r="C169" s="4">
        <v>548</v>
      </c>
      <c r="D169" s="4">
        <f>C169*41074/30481</f>
        <v>738.4453265968964</v>
      </c>
      <c r="E169" s="4"/>
      <c r="F169" s="2">
        <v>2.75</v>
      </c>
      <c r="G169" s="1"/>
      <c r="H169" s="1"/>
      <c r="I169" s="1"/>
    </row>
    <row r="170" spans="1:9" ht="12.75">
      <c r="A170" s="13" t="s">
        <v>264</v>
      </c>
      <c r="B170" s="13" t="s">
        <v>210</v>
      </c>
      <c r="C170" s="4"/>
      <c r="D170" s="4"/>
      <c r="E170" s="4">
        <f>1358</f>
        <v>1358</v>
      </c>
      <c r="F170" s="2">
        <f>1.1*2.75/6</f>
        <v>0.5041666666666668</v>
      </c>
      <c r="G170" s="1">
        <f aca="true" t="shared" si="15" ref="G170:G176">E170*F170/1000</f>
        <v>0.6846583333333334</v>
      </c>
      <c r="H170" s="1">
        <f>G170*H$178/G$178</f>
        <v>7.161672670172826</v>
      </c>
      <c r="I170" s="13" t="s">
        <v>68</v>
      </c>
    </row>
    <row r="171" spans="1:9" ht="12.75">
      <c r="A171" s="13" t="s">
        <v>269</v>
      </c>
      <c r="B171" s="13" t="s">
        <v>210</v>
      </c>
      <c r="C171" s="4"/>
      <c r="D171" s="4"/>
      <c r="E171" s="4">
        <f>1227</f>
        <v>1227</v>
      </c>
      <c r="F171" s="2">
        <f>2.18*2.75/6/2</f>
        <v>0.4995833333333333</v>
      </c>
      <c r="G171" s="1">
        <f t="shared" si="15"/>
        <v>0.61298875</v>
      </c>
      <c r="H171" s="1">
        <f aca="true" t="shared" si="16" ref="H171:H176">G171*H$178/G$178</f>
        <v>6.411993492615639</v>
      </c>
      <c r="I171" s="13" t="s">
        <v>68</v>
      </c>
    </row>
    <row r="172" spans="1:9" ht="12.75">
      <c r="A172" s="13" t="s">
        <v>270</v>
      </c>
      <c r="B172" s="13" t="s">
        <v>210</v>
      </c>
      <c r="C172" s="4"/>
      <c r="D172" s="4"/>
      <c r="E172" s="4">
        <f>1227</f>
        <v>1227</v>
      </c>
      <c r="F172" s="2">
        <f>2.18*2.75/6/2</f>
        <v>0.4995833333333333</v>
      </c>
      <c r="G172" s="1">
        <f t="shared" si="15"/>
        <v>0.61298875</v>
      </c>
      <c r="H172" s="1">
        <f>G172*H$178/G$178</f>
        <v>6.411993492615639</v>
      </c>
      <c r="I172" s="1" t="s">
        <v>82</v>
      </c>
    </row>
    <row r="173" spans="1:9" ht="12.75">
      <c r="A173" s="13" t="s">
        <v>265</v>
      </c>
      <c r="B173" s="13" t="s">
        <v>210</v>
      </c>
      <c r="C173" s="4"/>
      <c r="D173" s="4"/>
      <c r="E173" s="4">
        <f>491</f>
        <v>491</v>
      </c>
      <c r="F173" s="2">
        <f>1.05*2.25/7.25</f>
        <v>0.3258620689655173</v>
      </c>
      <c r="G173" s="1">
        <f t="shared" si="15"/>
        <v>0.159998275862069</v>
      </c>
      <c r="H173" s="1">
        <f t="shared" si="16"/>
        <v>1.6736162020221548</v>
      </c>
      <c r="I173" s="1" t="s">
        <v>82</v>
      </c>
    </row>
    <row r="174" spans="1:9" ht="12.75">
      <c r="A174" s="13" t="s">
        <v>266</v>
      </c>
      <c r="B174" s="13" t="s">
        <v>210</v>
      </c>
      <c r="C174" s="4"/>
      <c r="D174" s="4"/>
      <c r="E174" s="4">
        <f>1309</f>
        <v>1309</v>
      </c>
      <c r="F174" s="16">
        <f>1.17*2.75/6+0.11</f>
        <v>0.64625</v>
      </c>
      <c r="G174" s="1">
        <f t="shared" si="15"/>
        <v>0.84594125</v>
      </c>
      <c r="H174" s="1">
        <f t="shared" si="16"/>
        <v>8.848726489899104</v>
      </c>
      <c r="I174" s="1" t="s">
        <v>82</v>
      </c>
    </row>
    <row r="175" spans="1:9" ht="12.75">
      <c r="A175" s="13" t="s">
        <v>268</v>
      </c>
      <c r="B175" s="13" t="s">
        <v>210</v>
      </c>
      <c r="C175" s="4"/>
      <c r="D175" s="4"/>
      <c r="E175" s="4">
        <v>1112</v>
      </c>
      <c r="F175" s="16">
        <f>0.11*2.75/6</f>
        <v>0.050416666666666665</v>
      </c>
      <c r="G175" s="1">
        <f t="shared" si="15"/>
        <v>0.05606333333333333</v>
      </c>
      <c r="H175" s="1">
        <f t="shared" si="16"/>
        <v>0.5864344631246083</v>
      </c>
      <c r="I175" s="1" t="s">
        <v>82</v>
      </c>
    </row>
    <row r="176" spans="1:9" ht="12.75">
      <c r="A176" s="13" t="s">
        <v>267</v>
      </c>
      <c r="B176" s="13" t="s">
        <v>210</v>
      </c>
      <c r="C176" s="4"/>
      <c r="D176" s="4"/>
      <c r="E176" s="4">
        <f>801</f>
        <v>801</v>
      </c>
      <c r="F176" s="2">
        <f>0.79*2.75/9.5</f>
        <v>0.22868421052631582</v>
      </c>
      <c r="G176" s="1">
        <f t="shared" si="15"/>
        <v>0.183176052631579</v>
      </c>
      <c r="H176" s="1">
        <f t="shared" si="16"/>
        <v>1.9160607066225999</v>
      </c>
      <c r="I176" s="1" t="s">
        <v>82</v>
      </c>
    </row>
    <row r="177" spans="1:9" ht="12.75">
      <c r="A177" s="1"/>
      <c r="B177" s="1"/>
      <c r="C177" s="4"/>
      <c r="D177" s="4"/>
      <c r="E177" s="4"/>
      <c r="F177" s="3"/>
      <c r="G177" s="1"/>
      <c r="H177" s="1">
        <f>SUM(H2:H176)</f>
        <v>4000.0000000000023</v>
      </c>
      <c r="I177" s="1">
        <f>SUM(I2:I169)</f>
        <v>4000.000000000004</v>
      </c>
    </row>
    <row r="178" spans="1:9" ht="12.75">
      <c r="A178" s="1" t="s">
        <v>39</v>
      </c>
      <c r="B178" s="1"/>
      <c r="C178" s="4"/>
      <c r="D178" s="4"/>
      <c r="E178" s="4"/>
      <c r="F178" s="3"/>
      <c r="G178" s="2">
        <f>SUM(G2:G176)</f>
        <v>382.4013550269179</v>
      </c>
      <c r="H178" s="4">
        <v>4000</v>
      </c>
      <c r="I178" s="4">
        <v>4000</v>
      </c>
    </row>
    <row r="182" ht="12.75">
      <c r="A182" t="s">
        <v>50</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DC-Gregory</dc:creator>
  <cp:keywords/>
  <dc:description/>
  <cp:lastModifiedBy>DC-Gregory</cp:lastModifiedBy>
  <cp:lastPrinted>2015-09-21T23:12:44Z</cp:lastPrinted>
  <dcterms:created xsi:type="dcterms:W3CDTF">2014-02-19T04:59:29Z</dcterms:created>
  <dcterms:modified xsi:type="dcterms:W3CDTF">2018-11-05T01:58:20Z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